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120" windowWidth="16600" windowHeight="9440" activeTab="0"/>
  </bookViews>
  <sheets>
    <sheet name="Introduction" sheetId="1" r:id="rId1"/>
    <sheet name="Input Prices and Costs" sheetId="2" r:id="rId2"/>
    <sheet name="Summary" sheetId="3" r:id="rId3"/>
    <sheet name="Pasture &amp; Feed" sheetId="4" r:id="rId4"/>
    <sheet name="Ship To Grass" sheetId="5" r:id="rId5"/>
    <sheet name="Destock &amp; Restock" sheetId="6" r:id="rId6"/>
    <sheet name="Embryo Transfer" sheetId="7" r:id="rId7"/>
    <sheet name="Feed Cows In Feedyard" sheetId="8" r:id="rId8"/>
  </sheets>
  <definedNames>
    <definedName name="OLE_LINK1" localSheetId="6">'Embryo Transfer'!#REF!</definedName>
    <definedName name="_xlnm.Print_Area" localSheetId="5">'Destock &amp; Restock'!$A$1:$M$54</definedName>
    <definedName name="_xlnm.Print_Area" localSheetId="6">'Embryo Transfer'!$A$1:$S$61</definedName>
    <definedName name="_xlnm.Print_Area" localSheetId="7">'Feed Cows In Feedyard'!$A$1:$L$9</definedName>
    <definedName name="_xlnm.Print_Area" localSheetId="1">'Input Prices and Costs'!$A$1:$M$40</definedName>
    <definedName name="_xlnm.Print_Area" localSheetId="0">'Introduction'!$A$1:$J$53</definedName>
    <definedName name="_xlnm.Print_Area" localSheetId="3">'Pasture &amp; Feed'!$A$1:$O$21</definedName>
    <definedName name="_xlnm.Print_Area" localSheetId="4">'Ship To Grass'!$A$1:$O$19</definedName>
  </definedNames>
  <calcPr fullCalcOnLoad="1"/>
</workbook>
</file>

<file path=xl/comments2.xml><?xml version="1.0" encoding="utf-8"?>
<comments xmlns="http://schemas.openxmlformats.org/spreadsheetml/2006/main">
  <authors>
    <author>Rob Hogan</author>
  </authors>
  <commentList>
    <comment ref="B21" authorId="0">
      <text>
        <r>
          <rPr>
            <sz val="9"/>
            <rFont val="Tahoma"/>
            <family val="0"/>
          </rPr>
          <t>Input prices used are the most common found global prices</t>
        </r>
      </text>
    </comment>
    <comment ref="D4" authorId="0">
      <text>
        <r>
          <rPr>
            <b/>
            <sz val="9"/>
            <rFont val="Tahoma"/>
            <family val="2"/>
          </rPr>
          <t>Rob Hogan:</t>
        </r>
        <r>
          <rPr>
            <sz val="9"/>
            <rFont val="Tahoma"/>
            <family val="0"/>
          </rPr>
          <t xml:space="preserve">
This is the upper right corner of the vlookup table</t>
        </r>
      </text>
    </comment>
    <comment ref="A39" authorId="0">
      <text>
        <r>
          <rPr>
            <b/>
            <sz val="9"/>
            <rFont val="Tahoma"/>
            <family val="2"/>
          </rPr>
          <t>Rob Hogan:</t>
        </r>
        <r>
          <rPr>
            <sz val="9"/>
            <rFont val="Tahoma"/>
            <family val="0"/>
          </rPr>
          <t xml:space="preserve">
This is the lower left corner of the vlookup table</t>
        </r>
      </text>
    </comment>
    <comment ref="L4" authorId="0">
      <text>
        <r>
          <rPr>
            <sz val="9"/>
            <rFont val="Tahoma"/>
            <family val="0"/>
          </rPr>
          <t>Your estimate of the drought length</t>
        </r>
      </text>
    </comment>
    <comment ref="B35" authorId="0">
      <text>
        <r>
          <rPr>
            <sz val="9"/>
            <rFont val="Tahoma"/>
            <family val="0"/>
          </rPr>
          <t>This is the price of this class cow on the San Angelo, TX market on October 7, 2011</t>
        </r>
      </text>
    </comment>
    <comment ref="B36" authorId="0">
      <text>
        <r>
          <rPr>
            <sz val="9"/>
            <rFont val="Tahoma"/>
            <family val="0"/>
          </rPr>
          <t>This was computed for North Dakota: Bangs test and TB test at $3.00 per head each = $6.00 per head total.  The cost of the health papers are approximately $0.60 per head.</t>
        </r>
      </text>
    </comment>
  </commentList>
</comments>
</file>

<file path=xl/comments3.xml><?xml version="1.0" encoding="utf-8"?>
<comments xmlns="http://schemas.openxmlformats.org/spreadsheetml/2006/main">
  <authors>
    <author>Damona Doye</author>
    <author>Rob Hogan</author>
  </authors>
  <commentList>
    <comment ref="A8" authorId="0">
      <text>
        <r>
          <rPr>
            <sz val="8"/>
            <rFont val="Tahoma"/>
            <family val="2"/>
          </rPr>
          <t>Note that this is not the cash that is available to purchase a cow but the sum of interest earned on the proceeds of earlier culling and costs not incurred (feed and other) as a result of the sale. Cash that could be available for the purchase if saved and not spent includes the proceeds from the sale plus the interest earned on those proceeds.</t>
        </r>
      </text>
    </comment>
    <comment ref="G14" authorId="1">
      <text>
        <r>
          <rPr>
            <b/>
            <sz val="9"/>
            <rFont val="Tahoma"/>
            <family val="2"/>
          </rPr>
          <t>This assumes that input prices do not rise enough to change the feedyards cost structure</t>
        </r>
      </text>
    </comment>
    <comment ref="C18" authorId="1">
      <text>
        <r>
          <rPr>
            <sz val="9"/>
            <rFont val="Tahoma"/>
            <family val="0"/>
          </rPr>
          <t xml:space="preserve">As noted in the Introduction, Tabs 2-6 are representative of 5 specific drought management strategies. Note that within each module, data entry is on a cost per head basis. Each management strategy tab has an “endpoint” to represent its total cost. These are:  Pasture and Feed, end-point is cost per head kept;  Ship to Grass, endpoint is cost per head shipped;  Destock / Restock, endpoint is the break-even price that can be paid to buy a replacement female;  Embryo Transfer, the end-point is cost per pregnancy; and Feed Cows in a Feedyard, the endpoint is cost per head fed.
</t>
        </r>
      </text>
    </comment>
  </commentList>
</comments>
</file>

<file path=xl/comments4.xml><?xml version="1.0" encoding="utf-8"?>
<comments xmlns="http://schemas.openxmlformats.org/spreadsheetml/2006/main">
  <authors>
    <author>Rob Hogan</author>
  </authors>
  <commentList>
    <comment ref="C8" authorId="0">
      <text>
        <r>
          <rPr>
            <sz val="9"/>
            <rFont val="Tahoma"/>
            <family val="0"/>
          </rPr>
          <t xml:space="preserve">This assumes that animals will be fed correctly, to either  maintain or gain, for a given level of production.  And that if pasture dry mater is limiting, that hay and/or energy will be correctky used to replace it. </t>
        </r>
      </text>
    </comment>
  </commentList>
</comments>
</file>

<file path=xl/comments5.xml><?xml version="1.0" encoding="utf-8"?>
<comments xmlns="http://schemas.openxmlformats.org/spreadsheetml/2006/main">
  <authors>
    <author>Rob Hogan</author>
  </authors>
  <commentList>
    <comment ref="E5" authorId="0">
      <text>
        <r>
          <rPr>
            <sz val="9"/>
            <rFont val="Tahoma"/>
            <family val="0"/>
          </rPr>
          <t>The cost per loaded mile is defined in the Input Prices and Costs tab</t>
        </r>
      </text>
    </comment>
    <comment ref="C5" authorId="0">
      <text>
        <r>
          <rPr>
            <sz val="9"/>
            <rFont val="Tahoma"/>
            <family val="0"/>
          </rPr>
          <t>Code of freight cost</t>
        </r>
      </text>
    </comment>
    <comment ref="A3" authorId="0">
      <text>
        <r>
          <rPr>
            <sz val="9"/>
            <rFont val="Tahoma"/>
            <family val="0"/>
          </rPr>
          <t>This is a one way charge</t>
        </r>
      </text>
    </comment>
    <comment ref="K13" authorId="0">
      <text>
        <r>
          <rPr>
            <sz val="9"/>
            <rFont val="Tahoma"/>
            <family val="0"/>
          </rPr>
          <t xml:space="preserve">This assumes that animals will be fed correctly, to either  maintain or gain, for a given level of production.  And that if pasture dry mater is limiting, that hay and/or energy will be correctky used to replace it. </t>
        </r>
      </text>
    </comment>
    <comment ref="D8" authorId="0">
      <text>
        <r>
          <rPr>
            <sz val="9"/>
            <rFont val="Tahoma"/>
            <family val="0"/>
          </rPr>
          <t>This could vary widely based on environmental conditions or quality of lease agreement (animal care).</t>
        </r>
      </text>
    </comment>
    <comment ref="A7" authorId="0">
      <text>
        <r>
          <rPr>
            <sz val="9"/>
            <rFont val="Tahoma"/>
            <family val="0"/>
          </rPr>
          <t>Tests and health papers</t>
        </r>
      </text>
    </comment>
  </commentList>
</comments>
</file>

<file path=xl/comments6.xml><?xml version="1.0" encoding="utf-8"?>
<comments xmlns="http://schemas.openxmlformats.org/spreadsheetml/2006/main">
  <authors>
    <author>Roger Sahs</author>
    <author>Damona Doye</author>
    <author>Rob Hogan</author>
  </authors>
  <commentList>
    <comment ref="B28" authorId="0">
      <text>
        <r>
          <rPr>
            <b/>
            <sz val="9"/>
            <rFont val="Tahoma"/>
            <family val="2"/>
          </rPr>
          <t>Other maintenance costs, etc.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Other maintenance costs, etc.</t>
        </r>
        <r>
          <rPr>
            <sz val="8"/>
            <rFont val="Tahoma"/>
            <family val="2"/>
          </rPr>
          <t xml:space="preserve">
</t>
        </r>
      </text>
    </comment>
    <comment ref="B30" authorId="1">
      <text>
        <r>
          <rPr>
            <sz val="8"/>
            <rFont val="Tahoma"/>
            <family val="2"/>
          </rPr>
          <t xml:space="preserve">Note that it is presumed that feed and other costs would have been incurred up to the repurchase date had the cow been retained rather than sold. 
</t>
        </r>
      </text>
    </comment>
    <comment ref="B32" authorId="1">
      <text>
        <r>
          <rPr>
            <sz val="8"/>
            <rFont val="Tahoma"/>
            <family val="2"/>
          </rPr>
          <t xml:space="preserve">Note that this could alternatively be savings on interest payments if principal balances on loans are reduced.
</t>
        </r>
      </text>
    </comment>
    <comment ref="B36" authorId="1">
      <text>
        <r>
          <rPr>
            <sz val="8"/>
            <rFont val="Tahoma"/>
            <family val="2"/>
          </rPr>
          <t>Note that this is not the cash that is available to purchase a cow but the sum of interest earned on the proceeds of earlier culling and costs not incurred (feed and other) as a result of the sale. Cash that could be available for the purchase if saved and not spent includes the proceeds from the sale plus the interest earned on those proceeds.</t>
        </r>
      </text>
    </comment>
    <comment ref="D36" authorId="2">
      <text>
        <r>
          <rPr>
            <sz val="9"/>
            <rFont val="Tahoma"/>
            <family val="0"/>
          </rPr>
          <t>This is the breakeven price that can be paid for replacement female.</t>
        </r>
      </text>
    </comment>
  </commentList>
</comments>
</file>

<file path=xl/comments7.xml><?xml version="1.0" encoding="utf-8"?>
<comments xmlns="http://schemas.openxmlformats.org/spreadsheetml/2006/main">
  <authors>
    <author>Rob Hogan</author>
  </authors>
  <commentList>
    <comment ref="J50" authorId="0">
      <text>
        <r>
          <rPr>
            <sz val="9"/>
            <rFont val="Tahoma"/>
            <family val="0"/>
          </rPr>
          <t>How many months to feed recip cow after after she is bought and before she is pregnant</t>
        </r>
      </text>
    </comment>
    <comment ref="K54" authorId="0">
      <text>
        <r>
          <rPr>
            <sz val="9"/>
            <rFont val="Tahoma"/>
            <family val="0"/>
          </rPr>
          <t xml:space="preserve">56% preg rate of sexed embryos 
66% preg rate conv embryos
these are reasonable upper expectations, if yours differ go to cell </t>
        </r>
        <r>
          <rPr>
            <b/>
            <sz val="9"/>
            <rFont val="Tahoma"/>
            <family val="2"/>
          </rPr>
          <t>E4</t>
        </r>
        <r>
          <rPr>
            <sz val="9"/>
            <rFont val="Tahoma"/>
            <family val="0"/>
          </rPr>
          <t xml:space="preserve"> to change
These baseline pregnancy rates are taken from Dr. Jim McGrann's spreadsheet at:
http://www.sexingtechnologies.com/getfile.php?id=3 </t>
        </r>
      </text>
    </comment>
    <comment ref="K55" authorId="0">
      <text>
        <r>
          <rPr>
            <sz val="9"/>
            <rFont val="Tahoma"/>
            <family val="0"/>
          </rPr>
          <t>If this pregnancy comes to term, this will be the sum of total specified costs of the calf at birth from sexed semen.</t>
        </r>
      </text>
    </comment>
    <comment ref="C50" authorId="0">
      <text>
        <r>
          <rPr>
            <sz val="9"/>
            <rFont val="Tahoma"/>
            <family val="0"/>
          </rPr>
          <t>Pasture and supplementary feeding</t>
        </r>
      </text>
    </comment>
    <comment ref="K56" authorId="0">
      <text>
        <r>
          <rPr>
            <sz val="9"/>
            <rFont val="Tahoma"/>
            <family val="0"/>
          </rPr>
          <t>If this pregnancy comes to term, this will be the sum of total specified costs of the calf at birth from conventional semen.</t>
        </r>
      </text>
    </comment>
    <comment ref="K44" authorId="0">
      <text>
        <r>
          <rPr>
            <sz val="9"/>
            <rFont val="Tahoma"/>
            <family val="0"/>
          </rPr>
          <t>$5.00 minimum charge for frozen embryo maintenance</t>
        </r>
      </text>
    </comment>
    <comment ref="Y9" authorId="0">
      <text>
        <r>
          <rPr>
            <sz val="9"/>
            <rFont val="Tahoma"/>
            <family val="0"/>
          </rPr>
          <t>These numbers are taken from Jim McGrann.</t>
        </r>
      </text>
    </comment>
    <comment ref="K49" authorId="0">
      <text>
        <r>
          <rPr>
            <sz val="9"/>
            <rFont val="Tahoma"/>
            <family val="0"/>
          </rPr>
          <t>This represents the cost of the recip cow minus her salvage value.</t>
        </r>
      </text>
    </comment>
    <comment ref="K51" authorId="0">
      <text>
        <r>
          <rPr>
            <b/>
            <sz val="9"/>
            <rFont val="Tahoma"/>
            <family val="2"/>
          </rPr>
          <t>Round trip trucking from ranch to embryo technician</t>
        </r>
      </text>
    </comment>
  </commentList>
</comments>
</file>

<file path=xl/comments8.xml><?xml version="1.0" encoding="utf-8"?>
<comments xmlns="http://schemas.openxmlformats.org/spreadsheetml/2006/main">
  <authors>
    <author>Rob Hogan</author>
  </authors>
  <commentList>
    <comment ref="E6" authorId="0">
      <text>
        <r>
          <rPr>
            <sz val="9"/>
            <rFont val="Tahoma"/>
            <family val="0"/>
          </rPr>
          <t>This can be changed to a length of drought of your choosing</t>
        </r>
      </text>
    </comment>
  </commentList>
</comments>
</file>

<file path=xl/sharedStrings.xml><?xml version="1.0" encoding="utf-8"?>
<sst xmlns="http://schemas.openxmlformats.org/spreadsheetml/2006/main" count="258" uniqueCount="193">
  <si>
    <t>Pasture and Feed Alternative</t>
  </si>
  <si>
    <t>Computed on a per month basis</t>
  </si>
  <si>
    <t>pounds</t>
  </si>
  <si>
    <t>Price</t>
  </si>
  <si>
    <t>Total</t>
  </si>
  <si>
    <t>41% Cottonseed Cake</t>
  </si>
  <si>
    <t>ton</t>
  </si>
  <si>
    <t>http://search.ams.usda.gov/mnreports/am_ls155.txt</t>
  </si>
  <si>
    <t>Supreme Quality Alfalfa</t>
  </si>
  <si>
    <t>Sorghum Sudangrass Hay</t>
  </si>
  <si>
    <t>Baled Whole Wheat Hay</t>
  </si>
  <si>
    <t>per month</t>
  </si>
  <si>
    <t>Computed on an as fed dry matter basis</t>
  </si>
  <si>
    <t xml:space="preserve">Description Code </t>
  </si>
  <si>
    <t>Number</t>
  </si>
  <si>
    <t>Freight</t>
  </si>
  <si>
    <t>Vet Care</t>
  </si>
  <si>
    <t>months</t>
  </si>
  <si>
    <t>per head</t>
  </si>
  <si>
    <t>Per Month</t>
  </si>
  <si>
    <t>20% Range Cube</t>
  </si>
  <si>
    <t>39% Natural Breeder Cube</t>
  </si>
  <si>
    <t>32% Natural Breeder Cube</t>
  </si>
  <si>
    <t>per trip</t>
  </si>
  <si>
    <t>per year</t>
  </si>
  <si>
    <t>Round Up Herd &amp; Ship To Grass e.g. Colorado, Osage Area of Oklahoma, or Flint Hills, KS</t>
  </si>
  <si>
    <t>Cold weather feeding program--cost per day</t>
  </si>
  <si>
    <t>Protein Supplements</t>
  </si>
  <si>
    <t>Hay &amp; Roughage</t>
  </si>
  <si>
    <t>Cost</t>
  </si>
  <si>
    <t>Addt'l Freight</t>
  </si>
  <si>
    <t>Units</t>
  </si>
  <si>
    <t>Miscellaneous Costs</t>
  </si>
  <si>
    <t>Local pasture lease</t>
  </si>
  <si>
    <t>Northern pasture lease</t>
  </si>
  <si>
    <t>A.</t>
  </si>
  <si>
    <t>Cow and Calf Sales</t>
  </si>
  <si>
    <t>1. Number of Raised Cows to Sell (head)</t>
  </si>
  <si>
    <t>2. Number of Purchased Cows to Sell (head)</t>
  </si>
  <si>
    <t>3. Number of Calves to Sell (head)</t>
  </si>
  <si>
    <t>If selling pairs, separate total sales into cows (line 2) and calves (line 3).</t>
  </si>
  <si>
    <t>B.</t>
  </si>
  <si>
    <t>Net Sales Value Per Head</t>
  </si>
  <si>
    <t>1. Net Sales Value for Cows ($ per head)</t>
  </si>
  <si>
    <t>2. Net Sales Value for Calves ($ per head)</t>
  </si>
  <si>
    <t>C.</t>
  </si>
  <si>
    <t>1. Total Net Cow Sales Revenue - Early Date ($) = A x B</t>
  </si>
  <si>
    <t>2. Total Net Calf Sales Revenue - Early Date ($) = A x B</t>
  </si>
  <si>
    <t>D.</t>
  </si>
  <si>
    <t>E.</t>
  </si>
  <si>
    <t>Total Net Revenue from Immediate Sale</t>
  </si>
  <si>
    <t>F.</t>
  </si>
  <si>
    <t xml:space="preserve">       Days Between Sale and Repurchase Date: Days</t>
  </si>
  <si>
    <t xml:space="preserve">       Days Between Sales and Repurchase Date: Years</t>
  </si>
  <si>
    <t>G.</t>
  </si>
  <si>
    <t xml:space="preserve">Costs Saved from Not Holding Cows Between </t>
  </si>
  <si>
    <t>Now and Repurchase Date</t>
  </si>
  <si>
    <t xml:space="preserve">         1. Number of Head</t>
  </si>
  <si>
    <t xml:space="preserve">         2. Feed Cost per Day ($ per head )</t>
  </si>
  <si>
    <t xml:space="preserve">         3. Other Cost per Day ($ per head)</t>
  </si>
  <si>
    <t xml:space="preserve">         4. Additional Asset Costs (Machinery &amp; Other Livestock) ($)</t>
  </si>
  <si>
    <t>H.</t>
  </si>
  <si>
    <t>Total Cost Savings Between Dates ($)</t>
  </si>
  <si>
    <t>I.</t>
  </si>
  <si>
    <t>Opportunity Cost on Capital: Annual Interest Rate (%)</t>
  </si>
  <si>
    <t>J.</t>
  </si>
  <si>
    <t xml:space="preserve">Earnings on Net Sales Revenue ($)  = E x I x (F/365) </t>
  </si>
  <si>
    <t>K.</t>
  </si>
  <si>
    <t>Other Net Earnings If Cattle Are Sold (rent out land, etc.) ($)</t>
  </si>
  <si>
    <t>L.</t>
  </si>
  <si>
    <t>Amount that Could Be Paid for Replacement Animals ($)</t>
  </si>
  <si>
    <t xml:space="preserve">       = E + H + J + K </t>
  </si>
  <si>
    <t>M.</t>
  </si>
  <si>
    <t>Price per Animal That Could Be Paid ($)</t>
  </si>
  <si>
    <t>Price Increase That Can Be Paid ($ per head) = M - B</t>
  </si>
  <si>
    <t>Destock and Restock</t>
  </si>
  <si>
    <t>Destocking Phase</t>
  </si>
  <si>
    <t>Beeville Livestock Auction</t>
  </si>
  <si>
    <t>Amarillo Livestock Auction</t>
  </si>
  <si>
    <t>Buffalo Livestock Auction</t>
  </si>
  <si>
    <t>Edinburg Livestock Auction</t>
  </si>
  <si>
    <t>Milano Livestock Auction</t>
  </si>
  <si>
    <t>Navasota Livestock Auction</t>
  </si>
  <si>
    <t>San Angelo Livestock Auction</t>
  </si>
  <si>
    <t>For a summary sheet of stocker, feeder, and slaughter cow prices:</t>
  </si>
  <si>
    <t>http://www.ams.usda.gov/mnreports/SA_LS150.txt</t>
  </si>
  <si>
    <t>per loaded mile</t>
  </si>
  <si>
    <t>Trucking</t>
  </si>
  <si>
    <t>miles</t>
  </si>
  <si>
    <t>Labor and caretaking charge</t>
  </si>
  <si>
    <t>Freight Cost Per Head (out)</t>
  </si>
  <si>
    <t>per day</t>
  </si>
  <si>
    <t>Feed Units</t>
  </si>
  <si>
    <t>Estimated length of drought =</t>
  </si>
  <si>
    <t>Quantity</t>
  </si>
  <si>
    <t>Code</t>
  </si>
  <si>
    <t>Freight (back) (sell at end of period)</t>
  </si>
  <si>
    <t>Grass hay Montana</t>
  </si>
  <si>
    <t>per head per month</t>
  </si>
  <si>
    <t>Total Cost To Feed =</t>
  </si>
  <si>
    <t>Total Cost To Feed</t>
  </si>
  <si>
    <t>Estimated length of drought</t>
  </si>
  <si>
    <t>Estimated distance to haul =</t>
  </si>
  <si>
    <t>Sexed IVF Embryos (produced with previously frozen sexed semen)</t>
  </si>
  <si>
    <t>Sexed IVF Embryos (produced through reverse sort)</t>
  </si>
  <si>
    <t>Non-Sexed IVF Embryos (produced with conventional semen)</t>
  </si>
  <si>
    <t>ea</t>
  </si>
  <si>
    <t>Embryo Storage and Transfer</t>
  </si>
  <si>
    <t>Costs Of Storage Of Embryos</t>
  </si>
  <si>
    <t>Frozen semen maintainance</t>
  </si>
  <si>
    <t>Frozen embryo maintainance</t>
  </si>
  <si>
    <t>Revenues</t>
  </si>
  <si>
    <t>Recip Cows</t>
  </si>
  <si>
    <t>Recip Cow Care</t>
  </si>
  <si>
    <t>Pasture Cost Per AUY this includes labor and caretaking (on Northern pasture)</t>
  </si>
  <si>
    <t>Units Fed</t>
  </si>
  <si>
    <t>per animal per trip</t>
  </si>
  <si>
    <t>Embryo Quantity</t>
  </si>
  <si>
    <t>Pregnancy Rate - % from Sexed Semen =</t>
  </si>
  <si>
    <t>Expected Sexed Semen pregnancy rate =</t>
  </si>
  <si>
    <t>Head of cattle per load (estimated)</t>
  </si>
  <si>
    <t>Number of months cattle will need cold weather supplementation</t>
  </si>
  <si>
    <t>Cost of Recip Cow =</t>
  </si>
  <si>
    <t>Total Embryo Transfer and Storage on a per embryo basis</t>
  </si>
  <si>
    <t>Total Embryo Transfer and Storage on a per pregnancy basis</t>
  </si>
  <si>
    <t>Cost Of Embryo, Storage, and Transfer</t>
  </si>
  <si>
    <t>Total Specified Costs per head for the expected length =</t>
  </si>
  <si>
    <t xml:space="preserve">Cold Weather Feed Cost </t>
  </si>
  <si>
    <t>Pregnancy Rate (Sexed Semen)</t>
  </si>
  <si>
    <t>Expected Conventional Semen pregnancy rate =</t>
  </si>
  <si>
    <t>Pregnancy Rate (Conventional Semen)</t>
  </si>
  <si>
    <t>Embryo Transfer &amp; Related Pricing</t>
  </si>
  <si>
    <t>per AUY</t>
  </si>
  <si>
    <t>Range of costs of keeping cow in feedyard =</t>
  </si>
  <si>
    <t>if grain and protein sources keep going up this could push 3.00 per day</t>
  </si>
  <si>
    <t>These five markets are no longer reported due to budgetary issues</t>
  </si>
  <si>
    <t xml:space="preserve">Deathloss cost </t>
  </si>
  <si>
    <t>High Range</t>
  </si>
  <si>
    <t>Low Range</t>
  </si>
  <si>
    <t>to</t>
  </si>
  <si>
    <t>Cost of keeping a cow maintained in feedyard during drought</t>
  </si>
  <si>
    <t>Cost of keeping cows in feedyard and just maintaining them thru the drought will be =</t>
  </si>
  <si>
    <t>Price per unit</t>
  </si>
  <si>
    <t>Description</t>
  </si>
  <si>
    <t>Deathloss percentage (cows)</t>
  </si>
  <si>
    <t>Repurchase</t>
  </si>
  <si>
    <t>High</t>
  </si>
  <si>
    <t>Low</t>
  </si>
  <si>
    <t>Beef cattle require 2.5% of their bodyweight per day in dry-matter (roughage)</t>
  </si>
  <si>
    <t>Feeding Program For Recip Cow</t>
  </si>
  <si>
    <t xml:space="preserve"> minimum</t>
  </si>
  <si>
    <t>Pregnancy Rate - % from Conventional Semen =</t>
  </si>
  <si>
    <t>Total Net Revenue From Immediate Sale</t>
  </si>
  <si>
    <t>http://www.superiorlivestock.com/Superior.sla?sp=mr</t>
  </si>
  <si>
    <t>Superior Livestock Auction</t>
  </si>
  <si>
    <t>$0.50 per cane per month; 10 embryos per cane</t>
  </si>
  <si>
    <t>Per Grade 1 or 2 transferable embryo produced</t>
  </si>
  <si>
    <t>Implantation fee</t>
  </si>
  <si>
    <t>Per embryo Reverse Sort fee</t>
  </si>
  <si>
    <t>Freezing fee (if frozen)</t>
  </si>
  <si>
    <t>Estimated Future Recip Cow Cost</t>
  </si>
  <si>
    <t>Grass Hay--Good Quality</t>
  </si>
  <si>
    <r>
      <t>Current</t>
    </r>
    <r>
      <rPr>
        <sz val="10"/>
        <rFont val="Arial"/>
        <family val="0"/>
      </rPr>
      <t xml:space="preserve"> price of young to mid age cow</t>
    </r>
  </si>
  <si>
    <t>This spreadsheet was taken in it's entirety from:</t>
  </si>
  <si>
    <t xml:space="preserve">Repurchase Decision Calculator by:  Damona Doye, Roger Sahs, and J. C. Hobbs of Oklahoma State University; </t>
  </si>
  <si>
    <t>Larry Falconer and Jim McGrann of Texas AgriLife Extension.</t>
  </si>
  <si>
    <t>Per Day</t>
  </si>
  <si>
    <t>Fed Quantity</t>
  </si>
  <si>
    <t>Caretaking (per month)</t>
  </si>
  <si>
    <t>Pasture &amp; Feed</t>
  </si>
  <si>
    <t>Ship To Grass</t>
  </si>
  <si>
    <t>Destock &amp; Restock</t>
  </si>
  <si>
    <t>Embryo Transfer</t>
  </si>
  <si>
    <t>Feed Cows In Feedyard</t>
  </si>
  <si>
    <t xml:space="preserve">Estimated Length Of Drought = </t>
  </si>
  <si>
    <t>Total Specified Costs per head for the expected length of drought</t>
  </si>
  <si>
    <t>Total Embryo Transfer and Storage on a per pregnancy basis (Sexed Semen)</t>
  </si>
  <si>
    <t>Total Embryo Transfer and Storage on a per pregnancy basis (Conventional Semen)</t>
  </si>
  <si>
    <t>Cost of keeping cows in feedyard and just maintaining them thru the drought will be from</t>
  </si>
  <si>
    <t>Summary Sheet For The Five Alternatives</t>
  </si>
  <si>
    <t>Price per Animal That Could Be Paid To Restock ($)</t>
  </si>
  <si>
    <t>Health papers to ship cattle from Texas</t>
  </si>
  <si>
    <t>Computed on an as fed basis</t>
  </si>
  <si>
    <t>Beef cattle typically consume 2.5% of their bodyweight per day in dry-matter (roughage)</t>
  </si>
  <si>
    <r>
      <rPr>
        <sz val="18"/>
        <rFont val="Arial"/>
        <family val="2"/>
      </rPr>
      <t xml:space="preserve">A COST CALCULATOR:
For Drought Management of Beef Cows
</t>
    </r>
    <r>
      <rPr>
        <sz val="10"/>
        <rFont val="Arial"/>
        <family val="0"/>
      </rPr>
      <t>Developed by
Bruce Carpenter, Associate Professor, Texas AgriLife Extension and
Rob Hogan, Assistant Professor, Texas AgriLife Extension</t>
    </r>
  </si>
  <si>
    <t>Salvage Value of Recip Cow</t>
  </si>
  <si>
    <t>of cost</t>
  </si>
  <si>
    <t>Net Cost of Recip Cow</t>
  </si>
  <si>
    <t>Salvage Value of Recip Cow =</t>
  </si>
  <si>
    <t>Pounds per day of protein =</t>
  </si>
  <si>
    <t>Pounds per day of hay =</t>
  </si>
  <si>
    <t>Pasture =</t>
  </si>
  <si>
    <t>Round trip trucking from ranch to embryo technician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</si>
</sst>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_(&quot;$&quot;* #,##0_);_(&quot;$&quot;* \(#,##0\);_(&quot;$&quot;* &quot;-&quot;??_);_(@_)"/>
    <numFmt numFmtId="175" formatCode="0.0%"/>
    <numFmt numFmtId="176" formatCode="#,##0.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name val="Bodoni MT"/>
      <family val="1"/>
    </font>
    <font>
      <sz val="9"/>
      <name val="Tahoma"/>
      <family val="0"/>
    </font>
    <font>
      <b/>
      <u val="single"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3" applyAlignment="1" applyProtection="1">
      <alignment/>
      <protection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74" fontId="5" fillId="0" borderId="0" xfId="0" applyNumberFormat="1" applyFont="1" applyFill="1" applyBorder="1" applyAlignment="1" applyProtection="1">
      <alignment horizontal="center"/>
      <protection locked="0"/>
    </xf>
    <xf numFmtId="17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1" fontId="5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74" fontId="5" fillId="33" borderId="0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70" fontId="5" fillId="33" borderId="0" xfId="0" applyNumberFormat="1" applyFont="1" applyFill="1" applyBorder="1" applyAlignment="1" applyProtection="1">
      <alignment horizontal="center"/>
      <protection locked="0"/>
    </xf>
    <xf numFmtId="175" fontId="5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77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76" fontId="0" fillId="0" borderId="0" xfId="0" applyNumberFormat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167" fontId="0" fillId="0" borderId="0" xfId="0" applyNumberFormat="1" applyAlignment="1">
      <alignment/>
    </xf>
    <xf numFmtId="176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4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/>
    </xf>
    <xf numFmtId="172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172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76" fontId="0" fillId="33" borderId="0" xfId="0" applyNumberFormat="1" applyFill="1" applyAlignment="1" applyProtection="1">
      <alignment horizontal="center"/>
      <protection locked="0"/>
    </xf>
    <xf numFmtId="175" fontId="0" fillId="33" borderId="0" xfId="0" applyNumberFormat="1" applyFill="1" applyAlignment="1" applyProtection="1">
      <alignment/>
      <protection locked="0"/>
    </xf>
    <xf numFmtId="177" fontId="0" fillId="33" borderId="0" xfId="0" applyNumberFormat="1" applyFill="1" applyAlignment="1" applyProtection="1">
      <alignment horizontal="center"/>
      <protection locked="0"/>
    </xf>
    <xf numFmtId="9" fontId="0" fillId="33" borderId="0" xfId="0" applyNumberFormat="1" applyFill="1" applyAlignment="1" applyProtection="1">
      <alignment/>
      <protection locked="0"/>
    </xf>
    <xf numFmtId="172" fontId="0" fillId="33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173" fontId="0" fillId="33" borderId="0" xfId="0" applyNumberFormat="1" applyFill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2</xdr:row>
      <xdr:rowOff>809625</xdr:rowOff>
    </xdr:from>
    <xdr:to>
      <xdr:col>8</xdr:col>
      <xdr:colOff>47625</xdr:colOff>
      <xdr:row>2</xdr:row>
      <xdr:rowOff>809625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7240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809625</xdr:rowOff>
    </xdr:from>
    <xdr:to>
      <xdr:col>1</xdr:col>
      <xdr:colOff>19050</xdr:colOff>
      <xdr:row>2</xdr:row>
      <xdr:rowOff>809625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7240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2</xdr:row>
      <xdr:rowOff>809625</xdr:rowOff>
    </xdr:from>
    <xdr:to>
      <xdr:col>9</xdr:col>
      <xdr:colOff>38100</xdr:colOff>
      <xdr:row>2</xdr:row>
      <xdr:rowOff>809625</xdr:rowOff>
    </xdr:to>
    <xdr:pic>
      <xdr:nvPicPr>
        <xdr:cNvPr id="3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7240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809625</xdr:rowOff>
    </xdr:from>
    <xdr:to>
      <xdr:col>1</xdr:col>
      <xdr:colOff>361950</xdr:colOff>
      <xdr:row>2</xdr:row>
      <xdr:rowOff>809625</xdr:rowOff>
    </xdr:to>
    <xdr:pic>
      <xdr:nvPicPr>
        <xdr:cNvPr id="4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72402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219075</xdr:rowOff>
    </xdr:from>
    <xdr:to>
      <xdr:col>4</xdr:col>
      <xdr:colOff>19050</xdr:colOff>
      <xdr:row>1</xdr:row>
      <xdr:rowOff>704850</xdr:rowOff>
    </xdr:to>
    <xdr:pic>
      <xdr:nvPicPr>
        <xdr:cNvPr id="5" name="Picture 4" descr="AgriLife EXTENSION logo (2-color)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90575" y="295275"/>
          <a:ext cx="159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</xdr:row>
      <xdr:rowOff>266700</xdr:rowOff>
    </xdr:from>
    <xdr:to>
      <xdr:col>9</xdr:col>
      <xdr:colOff>390525</xdr:colOff>
      <xdr:row>1</xdr:row>
      <xdr:rowOff>752475</xdr:rowOff>
    </xdr:to>
    <xdr:pic>
      <xdr:nvPicPr>
        <xdr:cNvPr id="6" name="Picture 4" descr="AgriLife EXTENSION logo (2-color)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14800" y="342900"/>
          <a:ext cx="159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10</xdr:col>
      <xdr:colOff>0</xdr:colOff>
      <xdr:row>59</xdr:row>
      <xdr:rowOff>9525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0734675"/>
          <a:ext cx="53149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10</xdr:col>
      <xdr:colOff>0</xdr:colOff>
      <xdr:row>55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2314575"/>
          <a:ext cx="5314950" cy="834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42</xdr:row>
      <xdr:rowOff>161925</xdr:rowOff>
    </xdr:from>
    <xdr:to>
      <xdr:col>7</xdr:col>
      <xdr:colOff>47625</xdr:colOff>
      <xdr:row>42</xdr:row>
      <xdr:rowOff>800100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69818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42</xdr:row>
      <xdr:rowOff>161925</xdr:rowOff>
    </xdr:from>
    <xdr:to>
      <xdr:col>8</xdr:col>
      <xdr:colOff>38100</xdr:colOff>
      <xdr:row>42</xdr:row>
      <xdr:rowOff>800100</xdr:rowOff>
    </xdr:to>
    <xdr:pic>
      <xdr:nvPicPr>
        <xdr:cNvPr id="2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9818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42</xdr:row>
      <xdr:rowOff>161925</xdr:rowOff>
    </xdr:from>
    <xdr:to>
      <xdr:col>0</xdr:col>
      <xdr:colOff>361950</xdr:colOff>
      <xdr:row>42</xdr:row>
      <xdr:rowOff>781050</xdr:rowOff>
    </xdr:to>
    <xdr:pic>
      <xdr:nvPicPr>
        <xdr:cNvPr id="3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98182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ams.usda.gov/mnreports/am_ls155.txt" TargetMode="External" /><Relationship Id="rId2" Type="http://schemas.openxmlformats.org/officeDocument/2006/relationships/hyperlink" Target="http://ams.usda.gov/mnreports/AM_LS150.txt" TargetMode="External" /><Relationship Id="rId3" Type="http://schemas.openxmlformats.org/officeDocument/2006/relationships/hyperlink" Target="http://www.superiorlivestock.com/Superior.sla?sp=mr" TargetMode="External" /><Relationship Id="rId4" Type="http://schemas.openxmlformats.org/officeDocument/2006/relationships/comments" Target="../comments6.xml" /><Relationship Id="rId5" Type="http://schemas.openxmlformats.org/officeDocument/2006/relationships/vmlDrawing" Target="../drawings/vmlDrawing5.vml" /><Relationship Id="rId6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"/>
  <sheetViews>
    <sheetView tabSelected="1" workbookViewId="0" topLeftCell="C2">
      <selection activeCell="P9" sqref="P9"/>
    </sheetView>
  </sheetViews>
  <sheetFormatPr defaultColWidth="8.8515625" defaultRowHeight="12.75"/>
  <sheetData>
    <row r="1" ht="6" customHeight="1" thickBot="1"/>
    <row r="2" spans="2:11" ht="66" customHeight="1">
      <c r="B2" s="101" t="s">
        <v>184</v>
      </c>
      <c r="C2" s="102"/>
      <c r="D2" s="102"/>
      <c r="E2" s="102"/>
      <c r="F2" s="102"/>
      <c r="G2" s="102"/>
      <c r="H2" s="102"/>
      <c r="I2" s="102"/>
      <c r="J2" s="103"/>
      <c r="K2" s="33"/>
    </row>
    <row r="3" spans="2:14" ht="98.25" customHeight="1" thickBot="1">
      <c r="B3" s="104"/>
      <c r="C3" s="105"/>
      <c r="D3" s="105"/>
      <c r="E3" s="105"/>
      <c r="F3" s="105"/>
      <c r="G3" s="105"/>
      <c r="H3" s="105"/>
      <c r="I3" s="105"/>
      <c r="J3" s="106"/>
      <c r="K3" s="33"/>
      <c r="N3" s="7"/>
    </row>
    <row r="4" spans="1:10" ht="12">
      <c r="A4" s="33"/>
      <c r="B4" s="33"/>
      <c r="C4" s="33"/>
      <c r="D4" s="33"/>
      <c r="E4" s="33"/>
      <c r="F4" s="33"/>
      <c r="G4" s="33"/>
      <c r="H4" s="33"/>
      <c r="I4" s="33"/>
      <c r="J4" s="33"/>
    </row>
  </sheetData>
  <sheetProtection sheet="1" objects="1" scenarios="1" selectLockedCells="1"/>
  <mergeCells count="1">
    <mergeCell ref="B2:J3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115" zoomScaleNormal="115" workbookViewId="0" topLeftCell="B1">
      <selection activeCell="B22" sqref="B22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14.7109375" style="0" customWidth="1"/>
    <col min="4" max="4" width="41.421875" style="0" customWidth="1"/>
    <col min="5" max="6" width="11.7109375" style="0" customWidth="1"/>
  </cols>
  <sheetData>
    <row r="1" ht="12.75">
      <c r="A1" s="1" t="s">
        <v>143</v>
      </c>
    </row>
    <row r="2" spans="1:4" ht="12.75">
      <c r="A2" s="8" t="s">
        <v>95</v>
      </c>
      <c r="B2" s="8" t="s">
        <v>142</v>
      </c>
      <c r="C2" s="8" t="s">
        <v>31</v>
      </c>
      <c r="D2" s="8" t="s">
        <v>143</v>
      </c>
    </row>
    <row r="3" spans="2:7" ht="13.5" thickBot="1">
      <c r="B3" s="109" t="s">
        <v>27</v>
      </c>
      <c r="C3" s="109"/>
      <c r="D3" s="109"/>
      <c r="E3" s="8" t="s">
        <v>29</v>
      </c>
      <c r="F3" s="8" t="s">
        <v>30</v>
      </c>
      <c r="G3" s="8" t="s">
        <v>31</v>
      </c>
    </row>
    <row r="4" spans="1:13" ht="12.75">
      <c r="A4" s="54">
        <v>1</v>
      </c>
      <c r="B4" s="55">
        <f>E4+F4</f>
        <v>500</v>
      </c>
      <c r="C4" s="80" t="str">
        <f>G4</f>
        <v>ton</v>
      </c>
      <c r="D4" s="81" t="s">
        <v>5</v>
      </c>
      <c r="E4" s="82">
        <v>500</v>
      </c>
      <c r="F4" s="82">
        <v>0</v>
      </c>
      <c r="G4" s="83" t="s">
        <v>6</v>
      </c>
      <c r="I4" t="s">
        <v>93</v>
      </c>
      <c r="L4" s="91">
        <v>14</v>
      </c>
      <c r="M4" t="s">
        <v>17</v>
      </c>
    </row>
    <row r="5" spans="1:7" ht="12.75">
      <c r="A5" s="56">
        <v>2</v>
      </c>
      <c r="B5" s="57">
        <f aca="true" t="shared" si="0" ref="B5:B17">E5+F5</f>
        <v>424</v>
      </c>
      <c r="C5" s="60" t="str">
        <f aca="true" t="shared" si="1" ref="C5:C15">G5</f>
        <v>ton</v>
      </c>
      <c r="D5" s="84" t="s">
        <v>21</v>
      </c>
      <c r="E5" s="82">
        <v>424</v>
      </c>
      <c r="F5" s="82">
        <v>0</v>
      </c>
      <c r="G5" s="83" t="s">
        <v>6</v>
      </c>
    </row>
    <row r="6" spans="1:7" ht="12.75">
      <c r="A6" s="56">
        <v>3</v>
      </c>
      <c r="B6" s="57">
        <f t="shared" si="0"/>
        <v>400</v>
      </c>
      <c r="C6" s="60" t="str">
        <f t="shared" si="1"/>
        <v>ton</v>
      </c>
      <c r="D6" s="84" t="s">
        <v>22</v>
      </c>
      <c r="E6" s="82">
        <v>400</v>
      </c>
      <c r="F6" s="82">
        <v>0</v>
      </c>
      <c r="G6" s="83" t="s">
        <v>6</v>
      </c>
    </row>
    <row r="7" spans="1:7" ht="12.75">
      <c r="A7" s="56">
        <v>4</v>
      </c>
      <c r="B7" s="57">
        <f t="shared" si="0"/>
        <v>390</v>
      </c>
      <c r="C7" s="60" t="str">
        <f t="shared" si="1"/>
        <v>ton</v>
      </c>
      <c r="D7" s="84" t="s">
        <v>20</v>
      </c>
      <c r="E7" s="82">
        <v>390</v>
      </c>
      <c r="F7" s="82">
        <v>0</v>
      </c>
      <c r="G7" s="83" t="s">
        <v>6</v>
      </c>
    </row>
    <row r="8" spans="1:7" ht="12.75">
      <c r="A8" s="56">
        <v>5</v>
      </c>
      <c r="B8" s="57"/>
      <c r="C8" s="60"/>
      <c r="D8" s="84"/>
      <c r="E8" s="82"/>
      <c r="F8" s="82"/>
      <c r="G8" s="83"/>
    </row>
    <row r="9" spans="1:7" ht="12.75">
      <c r="A9" s="56">
        <v>6</v>
      </c>
      <c r="B9" s="57"/>
      <c r="C9" s="60"/>
      <c r="D9" s="84"/>
      <c r="E9" s="82"/>
      <c r="F9" s="82"/>
      <c r="G9" s="83"/>
    </row>
    <row r="10" spans="1:7" ht="12.75">
      <c r="A10" s="56"/>
      <c r="B10" s="57"/>
      <c r="C10" s="57"/>
      <c r="D10" s="58"/>
      <c r="E10" s="7"/>
      <c r="F10" s="7"/>
      <c r="G10" s="7"/>
    </row>
    <row r="11" spans="1:7" ht="12.75">
      <c r="A11" s="56"/>
      <c r="B11" s="107" t="s">
        <v>28</v>
      </c>
      <c r="C11" s="107"/>
      <c r="D11" s="108"/>
      <c r="E11" s="61"/>
      <c r="F11" s="7"/>
      <c r="G11" s="7"/>
    </row>
    <row r="12" spans="1:7" ht="12.75">
      <c r="A12" s="56">
        <v>7</v>
      </c>
      <c r="B12" s="79">
        <f t="shared" si="0"/>
        <v>250</v>
      </c>
      <c r="C12" s="60" t="str">
        <f t="shared" si="1"/>
        <v>ton</v>
      </c>
      <c r="D12" s="84" t="s">
        <v>8</v>
      </c>
      <c r="E12" s="82">
        <v>250</v>
      </c>
      <c r="F12" s="82">
        <v>0</v>
      </c>
      <c r="G12" s="83" t="s">
        <v>6</v>
      </c>
    </row>
    <row r="13" spans="1:7" ht="12.75">
      <c r="A13" s="56">
        <v>8</v>
      </c>
      <c r="B13" s="79">
        <f t="shared" si="0"/>
        <v>150</v>
      </c>
      <c r="C13" s="60" t="str">
        <f t="shared" si="1"/>
        <v>ton</v>
      </c>
      <c r="D13" s="84" t="s">
        <v>161</v>
      </c>
      <c r="E13" s="82">
        <v>150</v>
      </c>
      <c r="F13" s="82">
        <v>0</v>
      </c>
      <c r="G13" s="83" t="s">
        <v>6</v>
      </c>
    </row>
    <row r="14" spans="1:7" ht="12.75">
      <c r="A14" s="56">
        <v>9</v>
      </c>
      <c r="B14" s="79">
        <f t="shared" si="0"/>
        <v>160</v>
      </c>
      <c r="C14" s="60" t="str">
        <f t="shared" si="1"/>
        <v>ton</v>
      </c>
      <c r="D14" s="84" t="s">
        <v>9</v>
      </c>
      <c r="E14" s="82">
        <v>160</v>
      </c>
      <c r="F14" s="82">
        <v>0</v>
      </c>
      <c r="G14" s="83" t="s">
        <v>6</v>
      </c>
    </row>
    <row r="15" spans="1:7" ht="12.75">
      <c r="A15" s="56">
        <v>10</v>
      </c>
      <c r="B15" s="79">
        <f t="shared" si="0"/>
        <v>160</v>
      </c>
      <c r="C15" s="60" t="str">
        <f t="shared" si="1"/>
        <v>ton</v>
      </c>
      <c r="D15" s="84" t="s">
        <v>10</v>
      </c>
      <c r="E15" s="82">
        <v>160</v>
      </c>
      <c r="F15" s="82">
        <v>0</v>
      </c>
      <c r="G15" s="83" t="s">
        <v>6</v>
      </c>
    </row>
    <row r="16" spans="1:7" ht="12.75">
      <c r="A16" s="56">
        <v>11</v>
      </c>
      <c r="B16" s="79">
        <f t="shared" si="0"/>
        <v>110</v>
      </c>
      <c r="C16" s="60" t="s">
        <v>6</v>
      </c>
      <c r="D16" s="84" t="s">
        <v>97</v>
      </c>
      <c r="E16" s="82">
        <v>110</v>
      </c>
      <c r="F16" s="82">
        <v>0</v>
      </c>
      <c r="G16" s="83" t="s">
        <v>6</v>
      </c>
    </row>
    <row r="17" spans="1:7" ht="12.75">
      <c r="A17" s="56">
        <v>12</v>
      </c>
      <c r="B17" s="79">
        <f t="shared" si="0"/>
        <v>0</v>
      </c>
      <c r="C17" s="60"/>
      <c r="D17" s="84"/>
      <c r="E17" s="82"/>
      <c r="F17" s="82"/>
      <c r="G17" s="83"/>
    </row>
    <row r="18" spans="1:7" ht="12.75">
      <c r="A18" s="56"/>
      <c r="B18" s="79"/>
      <c r="C18" s="57"/>
      <c r="D18" s="58"/>
      <c r="E18" s="7"/>
      <c r="F18" s="7"/>
      <c r="G18" s="7"/>
    </row>
    <row r="19" spans="1:7" ht="12.75">
      <c r="A19" s="56"/>
      <c r="B19" s="79"/>
      <c r="C19" s="57"/>
      <c r="D19" s="58"/>
      <c r="E19" s="7"/>
      <c r="F19" s="7"/>
      <c r="G19" s="7"/>
    </row>
    <row r="20" spans="1:4" ht="12.75">
      <c r="A20" s="56"/>
      <c r="B20" s="79"/>
      <c r="C20" s="57"/>
      <c r="D20" s="58"/>
    </row>
    <row r="21" spans="1:4" ht="12.75">
      <c r="A21" s="56"/>
      <c r="B21" s="107" t="s">
        <v>131</v>
      </c>
      <c r="C21" s="107"/>
      <c r="D21" s="108"/>
    </row>
    <row r="22" spans="1:4" ht="12.75">
      <c r="A22" s="56">
        <v>13</v>
      </c>
      <c r="B22" s="85">
        <v>85</v>
      </c>
      <c r="C22" s="86" t="s">
        <v>106</v>
      </c>
      <c r="D22" s="84" t="s">
        <v>156</v>
      </c>
    </row>
    <row r="23" spans="1:4" ht="12.75">
      <c r="A23" s="56">
        <v>14</v>
      </c>
      <c r="B23" s="85">
        <v>50</v>
      </c>
      <c r="C23" s="86" t="s">
        <v>106</v>
      </c>
      <c r="D23" s="84" t="s">
        <v>157</v>
      </c>
    </row>
    <row r="24" spans="1:4" ht="12.75">
      <c r="A24" s="56">
        <v>15</v>
      </c>
      <c r="B24" s="85">
        <v>85</v>
      </c>
      <c r="C24" s="86" t="s">
        <v>106</v>
      </c>
      <c r="D24" s="84" t="s">
        <v>158</v>
      </c>
    </row>
    <row r="25" spans="1:4" ht="12.75">
      <c r="A25" s="56">
        <v>16</v>
      </c>
      <c r="B25" s="85">
        <v>40</v>
      </c>
      <c r="C25" s="86" t="s">
        <v>106</v>
      </c>
      <c r="D25" s="84" t="s">
        <v>159</v>
      </c>
    </row>
    <row r="26" spans="1:4" ht="12.75">
      <c r="A26" s="56">
        <v>17</v>
      </c>
      <c r="B26" s="57"/>
      <c r="C26" s="57"/>
      <c r="D26" s="58"/>
    </row>
    <row r="27" spans="1:7" ht="12.75">
      <c r="A27" s="56">
        <v>18</v>
      </c>
      <c r="B27" s="107" t="s">
        <v>32</v>
      </c>
      <c r="C27" s="107"/>
      <c r="D27" s="108"/>
      <c r="G27" s="5"/>
    </row>
    <row r="28" spans="1:4" ht="12.75">
      <c r="A28" s="56">
        <v>19</v>
      </c>
      <c r="B28" s="85">
        <v>160</v>
      </c>
      <c r="C28" s="86" t="s">
        <v>132</v>
      </c>
      <c r="D28" s="84" t="s">
        <v>33</v>
      </c>
    </row>
    <row r="29" spans="1:4" ht="12.75">
      <c r="A29" s="56">
        <v>20</v>
      </c>
      <c r="B29" s="85">
        <v>300</v>
      </c>
      <c r="C29" s="86" t="s">
        <v>132</v>
      </c>
      <c r="D29" s="84" t="s">
        <v>34</v>
      </c>
    </row>
    <row r="30" spans="1:4" ht="12.75">
      <c r="A30" s="56">
        <v>21</v>
      </c>
      <c r="B30" s="85">
        <v>3.75</v>
      </c>
      <c r="C30" s="86" t="s">
        <v>86</v>
      </c>
      <c r="D30" s="84" t="s">
        <v>87</v>
      </c>
    </row>
    <row r="31" spans="1:4" ht="12.75">
      <c r="A31" s="56">
        <v>22</v>
      </c>
      <c r="B31" s="85">
        <v>0</v>
      </c>
      <c r="C31" s="86" t="s">
        <v>11</v>
      </c>
      <c r="D31" s="84" t="s">
        <v>89</v>
      </c>
    </row>
    <row r="32" spans="1:10" ht="12.75">
      <c r="A32" s="56">
        <v>23</v>
      </c>
      <c r="B32" s="85">
        <v>0.05</v>
      </c>
      <c r="C32" s="86" t="s">
        <v>11</v>
      </c>
      <c r="D32" s="84" t="s">
        <v>110</v>
      </c>
      <c r="E32" t="s">
        <v>155</v>
      </c>
      <c r="I32" s="68">
        <v>5</v>
      </c>
      <c r="J32" t="s">
        <v>150</v>
      </c>
    </row>
    <row r="33" spans="1:10" ht="12.75">
      <c r="A33" s="56">
        <v>24</v>
      </c>
      <c r="B33" s="85">
        <v>0</v>
      </c>
      <c r="C33" s="86" t="s">
        <v>11</v>
      </c>
      <c r="D33" s="84" t="s">
        <v>109</v>
      </c>
      <c r="I33" s="62"/>
      <c r="J33" s="62"/>
    </row>
    <row r="34" spans="1:4" ht="12.75">
      <c r="A34" s="56">
        <v>25</v>
      </c>
      <c r="B34" s="85">
        <v>1300</v>
      </c>
      <c r="C34" s="86" t="s">
        <v>18</v>
      </c>
      <c r="D34" s="84" t="s">
        <v>160</v>
      </c>
    </row>
    <row r="35" spans="1:4" ht="12.75">
      <c r="A35" s="56">
        <v>26</v>
      </c>
      <c r="B35" s="87">
        <v>675</v>
      </c>
      <c r="C35" s="86" t="s">
        <v>18</v>
      </c>
      <c r="D35" s="88" t="s">
        <v>162</v>
      </c>
    </row>
    <row r="36" spans="1:4" ht="12.75">
      <c r="A36" s="56">
        <v>27</v>
      </c>
      <c r="B36" s="85">
        <f>3+3+(25/'Ship To Grass'!E4)</f>
        <v>6.595238095238095</v>
      </c>
      <c r="C36" s="86" t="s">
        <v>18</v>
      </c>
      <c r="D36" s="84" t="s">
        <v>181</v>
      </c>
    </row>
    <row r="37" spans="1:4" ht="12.75">
      <c r="A37" s="56">
        <v>28</v>
      </c>
      <c r="B37" s="98">
        <v>0.85</v>
      </c>
      <c r="C37" s="86" t="s">
        <v>186</v>
      </c>
      <c r="D37" s="84" t="s">
        <v>185</v>
      </c>
    </row>
    <row r="38" spans="1:4" ht="12.75">
      <c r="A38" s="56">
        <v>29</v>
      </c>
      <c r="B38" s="86"/>
      <c r="C38" s="86"/>
      <c r="D38" s="84"/>
    </row>
    <row r="39" spans="1:4" ht="13.5" thickBot="1">
      <c r="A39" s="59">
        <v>30</v>
      </c>
      <c r="B39" s="89"/>
      <c r="C39" s="89"/>
      <c r="D39" s="90"/>
    </row>
  </sheetData>
  <sheetProtection sheet="1" objects="1" scenarios="1" selectLockedCells="1"/>
  <mergeCells count="4">
    <mergeCell ref="B27:D27"/>
    <mergeCell ref="B21:D21"/>
    <mergeCell ref="B3:D3"/>
    <mergeCell ref="B11:D11"/>
  </mergeCells>
  <printOptions/>
  <pageMargins left="0.75" right="0.75" top="1" bottom="1" header="0.5" footer="0.5"/>
  <pageSetup fitToHeight="1" fitToWidth="1" horizontalDpi="600" verticalDpi="600" orientation="landscape" scale="7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29" sqref="F29"/>
    </sheetView>
  </sheetViews>
  <sheetFormatPr defaultColWidth="8.8515625" defaultRowHeight="12.75"/>
  <cols>
    <col min="1" max="1" width="56.7109375" style="0" customWidth="1"/>
    <col min="2" max="2" width="1.8515625" style="0" customWidth="1"/>
    <col min="3" max="3" width="14.421875" style="0" customWidth="1"/>
    <col min="4" max="4" width="13.421875" style="0" bestFit="1" customWidth="1"/>
    <col min="5" max="5" width="17.8515625" style="0" customWidth="1"/>
    <col min="6" max="6" width="15.7109375" style="0" customWidth="1"/>
    <col min="7" max="7" width="42.140625" style="0" customWidth="1"/>
  </cols>
  <sheetData>
    <row r="1" spans="1:10" ht="15.75">
      <c r="A1" s="76" t="s">
        <v>179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63" t="s">
        <v>174</v>
      </c>
      <c r="D3" s="5"/>
      <c r="E3" s="5">
        <f>'Input Prices and Costs'!L4</f>
        <v>14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43" t="s">
        <v>169</v>
      </c>
      <c r="D5" s="43" t="s">
        <v>170</v>
      </c>
      <c r="E5" s="43" t="s">
        <v>171</v>
      </c>
      <c r="F5" s="43" t="s">
        <v>172</v>
      </c>
      <c r="G5" s="43" t="s">
        <v>173</v>
      </c>
      <c r="H5" s="5"/>
      <c r="I5" s="5"/>
      <c r="J5" s="5"/>
    </row>
    <row r="6" spans="1:10" ht="25.5">
      <c r="A6" s="74" t="s">
        <v>175</v>
      </c>
      <c r="B6" s="5"/>
      <c r="C6" s="77">
        <f>'Pasture &amp; Feed'!F20</f>
        <v>1544.3166666666666</v>
      </c>
      <c r="D6" s="77">
        <f>'Ship To Grass'!E18</f>
        <v>873.7559523809525</v>
      </c>
      <c r="E6" s="77"/>
      <c r="F6" s="77"/>
      <c r="G6" s="5"/>
      <c r="H6" s="5"/>
      <c r="I6" s="5"/>
      <c r="J6" s="5"/>
    </row>
    <row r="7" spans="1:10" ht="12.75">
      <c r="A7" s="74"/>
      <c r="B7" s="5"/>
      <c r="C7" s="77"/>
      <c r="D7" s="77"/>
      <c r="E7" s="77"/>
      <c r="F7" s="77"/>
      <c r="G7" s="5"/>
      <c r="H7" s="5"/>
      <c r="I7" s="5"/>
      <c r="J7" s="5"/>
    </row>
    <row r="8" spans="1:10" ht="12.75">
      <c r="A8" s="74" t="s">
        <v>180</v>
      </c>
      <c r="B8" s="5"/>
      <c r="C8" s="77"/>
      <c r="D8" s="77"/>
      <c r="E8" s="77">
        <f>'Destock &amp; Restock'!D36</f>
        <v>2791.582876712329</v>
      </c>
      <c r="F8" s="77"/>
      <c r="G8" s="5"/>
      <c r="H8" s="5"/>
      <c r="I8" s="5"/>
      <c r="J8" s="5"/>
    </row>
    <row r="9" spans="1:10" ht="12.75">
      <c r="A9" s="74"/>
      <c r="B9" s="5"/>
      <c r="C9" s="77"/>
      <c r="D9" s="77"/>
      <c r="E9" s="77"/>
      <c r="F9" s="77"/>
      <c r="G9" s="5"/>
      <c r="H9" s="5"/>
      <c r="I9" s="5"/>
      <c r="J9" s="5"/>
    </row>
    <row r="10" spans="1:10" ht="25.5">
      <c r="A10" s="73" t="s">
        <v>176</v>
      </c>
      <c r="B10" s="5"/>
      <c r="C10" s="77"/>
      <c r="D10" s="77"/>
      <c r="E10" s="77"/>
      <c r="F10" s="77">
        <f>'Embryo Transfer'!K55</f>
        <v>771.1309523809524</v>
      </c>
      <c r="G10" s="5"/>
      <c r="H10" s="5"/>
      <c r="I10" s="5"/>
      <c r="J10" s="5"/>
    </row>
    <row r="11" spans="1:10" ht="12.75">
      <c r="A11" s="73"/>
      <c r="B11" s="5"/>
      <c r="C11" s="77"/>
      <c r="D11" s="77"/>
      <c r="E11" s="77"/>
      <c r="F11" s="77"/>
      <c r="G11" s="5"/>
      <c r="H11" s="5"/>
      <c r="I11" s="5"/>
      <c r="J11" s="5"/>
    </row>
    <row r="12" spans="1:10" ht="25.5">
      <c r="A12" s="73" t="s">
        <v>177</v>
      </c>
      <c r="B12" s="5"/>
      <c r="C12" s="77"/>
      <c r="D12" s="77"/>
      <c r="E12" s="77"/>
      <c r="F12" s="77">
        <f>'Embryo Transfer'!K56</f>
        <v>654.2929292929293</v>
      </c>
      <c r="G12" s="5"/>
      <c r="H12" s="5"/>
      <c r="I12" s="5"/>
      <c r="J12" s="5"/>
    </row>
    <row r="13" spans="1:10" ht="12.75">
      <c r="A13" s="73"/>
      <c r="B13" s="5"/>
      <c r="C13" s="75"/>
      <c r="D13" s="75"/>
      <c r="E13" s="75"/>
      <c r="F13" s="75"/>
      <c r="G13" s="5"/>
      <c r="H13" s="5"/>
      <c r="I13" s="5"/>
      <c r="J13" s="5"/>
    </row>
    <row r="14" spans="1:10" ht="26.25" customHeight="1">
      <c r="A14" s="74" t="s">
        <v>178</v>
      </c>
      <c r="B14" s="5"/>
      <c r="C14" s="75"/>
      <c r="D14" s="75"/>
      <c r="E14" s="75"/>
      <c r="F14" s="75"/>
      <c r="G14" s="5" t="str">
        <f>"From a low of $"&amp;'Feed Cows In Feedyard'!G8&amp;" to a high of $"&amp;'Feed Cows In Feedyard'!I8&amp;" per head"</f>
        <v>From a low of $945 to a high of $1155 per head</v>
      </c>
      <c r="H14" s="5"/>
      <c r="I14" s="5"/>
      <c r="J14" s="5"/>
    </row>
    <row r="15" spans="1:10" ht="12.75">
      <c r="A15" s="5"/>
      <c r="B15" s="63"/>
      <c r="C15" s="5"/>
      <c r="D15" s="5"/>
      <c r="E15" s="5"/>
      <c r="F15" s="5"/>
      <c r="G15" s="5"/>
      <c r="H15" s="5"/>
      <c r="I15" s="5"/>
      <c r="J15" s="5"/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2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2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A10" sqref="A10"/>
    </sheetView>
  </sheetViews>
  <sheetFormatPr defaultColWidth="8.8515625" defaultRowHeight="12.75"/>
  <cols>
    <col min="1" max="1" width="20.28125" style="0" customWidth="1"/>
    <col min="2" max="2" width="22.28125" style="0" customWidth="1"/>
    <col min="3" max="3" width="10.421875" style="0" customWidth="1"/>
    <col min="4" max="4" width="12.421875" style="0" customWidth="1"/>
    <col min="5" max="5" width="14.140625" style="0" customWidth="1"/>
    <col min="6" max="6" width="15.28125" style="0" customWidth="1"/>
    <col min="7" max="7" width="12.421875" style="0" customWidth="1"/>
    <col min="8" max="8" width="14.28125" style="0" customWidth="1"/>
  </cols>
  <sheetData>
    <row r="1" ht="12.75">
      <c r="A1" s="1" t="s">
        <v>0</v>
      </c>
    </row>
    <row r="2" ht="12.75">
      <c r="A2" s="1"/>
    </row>
    <row r="3" ht="12.75">
      <c r="A3" s="1"/>
    </row>
    <row r="5" spans="1:6" ht="12" customHeight="1">
      <c r="A5" s="1" t="s">
        <v>1</v>
      </c>
      <c r="B5" s="1"/>
      <c r="C5" s="1"/>
      <c r="D5" s="1"/>
      <c r="E5" s="1"/>
      <c r="F5" s="1"/>
    </row>
    <row r="6" spans="1:3" ht="12" customHeight="1">
      <c r="A6" s="1" t="s">
        <v>182</v>
      </c>
      <c r="B6" s="1"/>
      <c r="C6" s="1"/>
    </row>
    <row r="7" spans="1:3" ht="12" customHeight="1">
      <c r="A7" s="1"/>
      <c r="B7" s="1"/>
      <c r="C7" s="1"/>
    </row>
    <row r="8" spans="1:9" ht="12" customHeight="1">
      <c r="A8" s="8" t="s">
        <v>13</v>
      </c>
      <c r="B8" s="1"/>
      <c r="C8" s="8" t="s">
        <v>94</v>
      </c>
      <c r="D8" s="1"/>
      <c r="E8" s="8" t="s">
        <v>115</v>
      </c>
      <c r="F8" s="8" t="s">
        <v>167</v>
      </c>
      <c r="G8" s="7"/>
      <c r="H8" s="7"/>
      <c r="I8" s="7"/>
    </row>
    <row r="9" spans="1:9" ht="12">
      <c r="A9" s="8" t="s">
        <v>14</v>
      </c>
      <c r="B9" s="8" t="s">
        <v>143</v>
      </c>
      <c r="C9" s="8" t="s">
        <v>166</v>
      </c>
      <c r="D9" s="8" t="s">
        <v>31</v>
      </c>
      <c r="E9" s="8" t="s">
        <v>19</v>
      </c>
      <c r="F9" s="8" t="s">
        <v>19</v>
      </c>
      <c r="G9" s="8" t="s">
        <v>3</v>
      </c>
      <c r="H9" s="8" t="s">
        <v>31</v>
      </c>
      <c r="I9" s="8" t="s">
        <v>4</v>
      </c>
    </row>
    <row r="10" spans="1:9" ht="12">
      <c r="A10" s="83">
        <v>19</v>
      </c>
      <c r="B10" s="69" t="str">
        <f>VLOOKUP('Pasture &amp; Feed'!A10,'Input Prices and Costs'!$A$4:$D$39,4,FALSE)</f>
        <v>Local pasture lease</v>
      </c>
      <c r="C10" s="92">
        <f>1/12</f>
        <v>0.08333333333333333</v>
      </c>
      <c r="D10" s="64" t="str">
        <f>VLOOKUP(A10,'Input Prices and Costs'!$A$4:$D$39,3,FALSE)</f>
        <v>per AUY</v>
      </c>
      <c r="E10" s="83">
        <v>1</v>
      </c>
      <c r="F10" s="38">
        <f>C10*E10</f>
        <v>0.08333333333333333</v>
      </c>
      <c r="G10" s="46">
        <f>VLOOKUP(A10,'Input Prices and Costs'!$A$4:$D$39,2,FALSE)</f>
        <v>160</v>
      </c>
      <c r="H10" s="64" t="str">
        <f>VLOOKUP(A10,'Input Prices and Costs'!$A$4:$D$39,3,FALSE)</f>
        <v>per AUY</v>
      </c>
      <c r="I10" s="46">
        <f>F10*G10</f>
        <v>13.333333333333332</v>
      </c>
    </row>
    <row r="11" spans="1:9" ht="12">
      <c r="A11" s="83">
        <v>4</v>
      </c>
      <c r="B11" s="69" t="str">
        <f>VLOOKUP('Pasture &amp; Feed'!A11,'Input Prices and Costs'!$A$4:$D$39,4,FALSE)</f>
        <v>20% Range Cube</v>
      </c>
      <c r="C11" s="92">
        <v>6</v>
      </c>
      <c r="D11" s="7" t="s">
        <v>2</v>
      </c>
      <c r="E11" s="83">
        <v>30</v>
      </c>
      <c r="F11" s="70">
        <f>C11*E11</f>
        <v>180</v>
      </c>
      <c r="G11" s="46">
        <f>VLOOKUP(A11,'Input Prices and Costs'!$A$4:$D$39,2,FALSE)</f>
        <v>390</v>
      </c>
      <c r="H11" s="64" t="str">
        <f>VLOOKUP(A11,'Input Prices and Costs'!$A$4:$D$39,3,FALSE)</f>
        <v>ton</v>
      </c>
      <c r="I11" s="46">
        <f>(F11/2000)*G11</f>
        <v>35.1</v>
      </c>
    </row>
    <row r="12" spans="1:9" ht="12">
      <c r="A12" s="83">
        <v>8</v>
      </c>
      <c r="B12" s="69" t="str">
        <f>VLOOKUP('Pasture &amp; Feed'!A12,'Input Prices and Costs'!$A$4:$D$39,4,FALSE)</f>
        <v>Grass Hay--Good Quality</v>
      </c>
      <c r="C12" s="92">
        <f>1100*0.025</f>
        <v>27.5</v>
      </c>
      <c r="D12" s="7" t="s">
        <v>2</v>
      </c>
      <c r="E12" s="83">
        <v>30</v>
      </c>
      <c r="F12" s="70">
        <f>C12*E12</f>
        <v>825</v>
      </c>
      <c r="G12" s="46">
        <f>VLOOKUP(A12,'Input Prices and Costs'!$A$4:$D$39,2,FALSE)</f>
        <v>150</v>
      </c>
      <c r="H12" s="64" t="str">
        <f>VLOOKUP(A12,'Input Prices and Costs'!$A$4:$D$39,3,FALSE)</f>
        <v>ton</v>
      </c>
      <c r="I12" s="46">
        <f>(F12/2000)*G12</f>
        <v>61.875</v>
      </c>
    </row>
    <row r="13" spans="4:12" ht="12">
      <c r="D13" s="7"/>
      <c r="E13" s="1" t="s">
        <v>99</v>
      </c>
      <c r="F13" s="1"/>
      <c r="G13" s="1"/>
      <c r="H13" s="1"/>
      <c r="I13" s="3">
        <f>SUM(I10:I12)</f>
        <v>110.30833333333334</v>
      </c>
      <c r="J13" t="s">
        <v>11</v>
      </c>
      <c r="L13" s="52"/>
    </row>
    <row r="14" spans="4:10" ht="12">
      <c r="D14" s="7"/>
      <c r="I14" s="4">
        <f>I13/30</f>
        <v>3.6769444444444446</v>
      </c>
      <c r="J14" t="s">
        <v>91</v>
      </c>
    </row>
    <row r="15" ht="12">
      <c r="A15" s="66" t="s">
        <v>183</v>
      </c>
    </row>
    <row r="17" spans="1:6" ht="12">
      <c r="A17" t="s">
        <v>101</v>
      </c>
      <c r="E17" s="5">
        <f>'Input Prices and Costs'!L4</f>
        <v>14</v>
      </c>
      <c r="F17" t="s">
        <v>17</v>
      </c>
    </row>
    <row r="20" spans="1:7" ht="12">
      <c r="A20" s="1" t="s">
        <v>126</v>
      </c>
      <c r="F20" s="3">
        <f>I13*E17</f>
        <v>1544.3166666666666</v>
      </c>
      <c r="G20" s="1" t="s">
        <v>18</v>
      </c>
    </row>
    <row r="29" ht="12">
      <c r="E29" s="2"/>
    </row>
    <row r="30" ht="12">
      <c r="E30" s="2"/>
    </row>
    <row r="31" ht="12">
      <c r="E31" s="2"/>
    </row>
    <row r="32" ht="12">
      <c r="E32" s="2"/>
    </row>
    <row r="33" ht="12">
      <c r="E33" s="2"/>
    </row>
    <row r="34" ht="12">
      <c r="E34" s="2"/>
    </row>
    <row r="35" ht="12">
      <c r="E35" s="2"/>
    </row>
    <row r="36" ht="12">
      <c r="E36" s="2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landscape" scale="76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">
      <selection activeCell="E15" sqref="E15"/>
    </sheetView>
  </sheetViews>
  <sheetFormatPr defaultColWidth="8.8515625" defaultRowHeight="12.75"/>
  <cols>
    <col min="1" max="1" width="33.421875" style="0" customWidth="1"/>
    <col min="2" max="2" width="1.8515625" style="0" customWidth="1"/>
    <col min="3" max="6" width="8.8515625" style="0" customWidth="1"/>
    <col min="7" max="7" width="9.7109375" style="0" customWidth="1"/>
    <col min="8" max="8" width="2.00390625" style="0" customWidth="1"/>
    <col min="9" max="9" width="19.7109375" style="0" customWidth="1"/>
    <col min="10" max="10" width="9.421875" style="0" customWidth="1"/>
    <col min="11" max="11" width="11.28125" style="0" customWidth="1"/>
    <col min="12" max="12" width="11.140625" style="0" customWidth="1"/>
    <col min="13" max="13" width="10.28125" style="0" customWidth="1"/>
  </cols>
  <sheetData>
    <row r="1" ht="12.75">
      <c r="A1" s="1" t="s">
        <v>25</v>
      </c>
    </row>
    <row r="2" ht="12.75">
      <c r="C2" s="8" t="s">
        <v>95</v>
      </c>
    </row>
    <row r="3" spans="1:6" ht="12.75">
      <c r="A3" t="s">
        <v>102</v>
      </c>
      <c r="E3" s="91">
        <v>1000</v>
      </c>
      <c r="F3" t="s">
        <v>88</v>
      </c>
    </row>
    <row r="4" spans="1:5" ht="12.75">
      <c r="A4" t="s">
        <v>120</v>
      </c>
      <c r="E4" s="91">
        <v>42</v>
      </c>
    </row>
    <row r="5" spans="1:6" ht="12.75">
      <c r="A5" t="s">
        <v>15</v>
      </c>
      <c r="C5" s="91">
        <v>21</v>
      </c>
      <c r="E5" s="52">
        <f>$E$3*VLOOKUP(C5,'Input Prices and Costs'!$A$4:$D$39,2,FALSE)</f>
        <v>3750</v>
      </c>
      <c r="F5" t="s">
        <v>23</v>
      </c>
    </row>
    <row r="6" spans="1:6" ht="12.75">
      <c r="A6" t="s">
        <v>90</v>
      </c>
      <c r="E6" s="52">
        <f>E5/E4</f>
        <v>89.28571428571429</v>
      </c>
      <c r="F6" t="s">
        <v>116</v>
      </c>
    </row>
    <row r="7" spans="1:6" ht="12.75">
      <c r="A7" t="str">
        <f>VLOOKUP(C7,'Input Prices and Costs'!$A$4:$D$39,4,FALSE)</f>
        <v>Health papers to ship cattle from Texas</v>
      </c>
      <c r="C7" s="91">
        <v>27</v>
      </c>
      <c r="D7" s="5"/>
      <c r="E7" s="78">
        <f>VLOOKUP(C7,'Input Prices and Costs'!$A$4:$D$39,2,FALSE)</f>
        <v>6.595238095238095</v>
      </c>
      <c r="F7" t="s">
        <v>18</v>
      </c>
    </row>
    <row r="8" spans="1:4" ht="12.75" customHeight="1">
      <c r="A8" t="s">
        <v>144</v>
      </c>
      <c r="D8" s="93">
        <v>0.02</v>
      </c>
    </row>
    <row r="9" spans="1:4" ht="12.75">
      <c r="A9" t="s">
        <v>136</v>
      </c>
      <c r="D9" s="4">
        <f>IF(E13=0,D8*VLOOKUP(26,'Input Prices and Costs'!$A$4:$D$39,2,FALSE),2*(D8*VLOOKUP(26,'Input Prices and Costs'!$A$4:$D$39,2,FALSE)))</f>
        <v>13.5</v>
      </c>
    </row>
    <row r="10" spans="1:6" ht="38.25">
      <c r="A10" s="37" t="s">
        <v>114</v>
      </c>
      <c r="C10" s="91">
        <v>20</v>
      </c>
      <c r="E10">
        <f>VLOOKUP(C10,'Input Prices and Costs'!$A$4:$D$39,2,FALSE)</f>
        <v>300</v>
      </c>
      <c r="F10" t="s">
        <v>24</v>
      </c>
    </row>
    <row r="11" spans="1:4" ht="12.75">
      <c r="A11" s="37" t="s">
        <v>168</v>
      </c>
      <c r="C11" s="91">
        <v>22</v>
      </c>
      <c r="D11" s="91">
        <f>VLOOKUP(C11,'Input Prices and Costs'!$A$4:$D$39,2,FALSE)</f>
        <v>0</v>
      </c>
    </row>
    <row r="12" spans="1:13" ht="12">
      <c r="A12" t="s">
        <v>16</v>
      </c>
      <c r="E12">
        <v>12</v>
      </c>
      <c r="F12" t="s">
        <v>24</v>
      </c>
      <c r="I12" s="51" t="s">
        <v>26</v>
      </c>
      <c r="J12" s="51"/>
      <c r="K12" s="51"/>
      <c r="L12" s="51"/>
      <c r="M12" s="51"/>
    </row>
    <row r="13" spans="1:13" ht="12">
      <c r="A13" t="s">
        <v>96</v>
      </c>
      <c r="E13" s="91">
        <v>0</v>
      </c>
      <c r="F13" t="s">
        <v>116</v>
      </c>
      <c r="I13" s="8" t="s">
        <v>143</v>
      </c>
      <c r="J13" s="8" t="s">
        <v>95</v>
      </c>
      <c r="K13" s="8" t="s">
        <v>94</v>
      </c>
      <c r="L13" s="8" t="s">
        <v>3</v>
      </c>
      <c r="M13" s="8" t="s">
        <v>4</v>
      </c>
    </row>
    <row r="14" spans="1:13" ht="12">
      <c r="A14" t="s">
        <v>127</v>
      </c>
      <c r="E14" s="4">
        <f>M17</f>
        <v>80.47500000000001</v>
      </c>
      <c r="F14" t="s">
        <v>98</v>
      </c>
      <c r="I14" s="38" t="str">
        <f>VLOOKUP(J14,'Input Prices and Costs'!$A$4:$D$39,4,FALSE)</f>
        <v>20% Range Cube</v>
      </c>
      <c r="J14" s="83">
        <v>4</v>
      </c>
      <c r="K14" s="94">
        <v>6</v>
      </c>
      <c r="L14" s="38">
        <f>VLOOKUP(J14,'Input Prices and Costs'!$A$4:$D$39,2,FALSE)/2000</f>
        <v>0.195</v>
      </c>
      <c r="M14" s="71">
        <f>K14*L14</f>
        <v>1.17</v>
      </c>
    </row>
    <row r="15" spans="1:13" ht="12">
      <c r="A15" t="s">
        <v>121</v>
      </c>
      <c r="E15" s="91">
        <v>5</v>
      </c>
      <c r="F15" t="s">
        <v>17</v>
      </c>
      <c r="I15" s="38" t="str">
        <f>VLOOKUP(J15,'Input Prices and Costs'!$A$4:$D$39,4,FALSE)</f>
        <v>Grass hay Montana</v>
      </c>
      <c r="J15" s="83">
        <v>11</v>
      </c>
      <c r="K15" s="94">
        <f>0.025*1100</f>
        <v>27.5</v>
      </c>
      <c r="L15" s="38">
        <f>VLOOKUP(J15,'Input Prices and Costs'!$A$4:$D$39,2,FALSE)/2000</f>
        <v>0.055</v>
      </c>
      <c r="M15" s="71">
        <f>K15*L15</f>
        <v>1.5125</v>
      </c>
    </row>
    <row r="16" spans="1:14" ht="12">
      <c r="A16" t="s">
        <v>101</v>
      </c>
      <c r="E16" s="5">
        <f>'Input Prices and Costs'!L4</f>
        <v>14</v>
      </c>
      <c r="F16" t="s">
        <v>17</v>
      </c>
      <c r="K16" s="1" t="s">
        <v>100</v>
      </c>
      <c r="M16" s="4">
        <f>M14+M15</f>
        <v>2.6825</v>
      </c>
      <c r="N16" t="s">
        <v>91</v>
      </c>
    </row>
    <row r="17" spans="13:14" ht="12">
      <c r="M17" s="4">
        <f>$M$16*30</f>
        <v>80.47500000000001</v>
      </c>
      <c r="N17" t="s">
        <v>11</v>
      </c>
    </row>
    <row r="18" spans="1:6" ht="12">
      <c r="A18" s="1" t="s">
        <v>126</v>
      </c>
      <c r="E18" s="4">
        <f>E6+E7+(E16*(E10/12))+E12+E13+E14*E15+D9+(E16*D11)</f>
        <v>873.7559523809525</v>
      </c>
      <c r="F18" t="s">
        <v>18</v>
      </c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landscape" scale="7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7" sqref="D7"/>
    </sheetView>
  </sheetViews>
  <sheetFormatPr defaultColWidth="8.8515625" defaultRowHeight="12.75"/>
  <cols>
    <col min="1" max="1" width="8.8515625" style="0" customWidth="1"/>
    <col min="2" max="2" width="59.28125" style="0" customWidth="1"/>
    <col min="3" max="3" width="2.421875" style="0" customWidth="1"/>
    <col min="4" max="4" width="12.140625" style="0" customWidth="1"/>
  </cols>
  <sheetData>
    <row r="1" spans="1:4" ht="15.75">
      <c r="A1" s="110" t="s">
        <v>75</v>
      </c>
      <c r="B1" s="110"/>
      <c r="C1" s="110"/>
      <c r="D1" s="110"/>
    </row>
    <row r="2" ht="12.75">
      <c r="A2" s="17"/>
    </row>
    <row r="3" ht="12.75">
      <c r="A3" s="18" t="s">
        <v>76</v>
      </c>
    </row>
    <row r="4" ht="12.75">
      <c r="A4" s="7"/>
    </row>
    <row r="5" spans="1:4" ht="12.75">
      <c r="A5" s="7" t="s">
        <v>35</v>
      </c>
      <c r="B5" s="9" t="s">
        <v>36</v>
      </c>
      <c r="D5" s="65"/>
    </row>
    <row r="6" spans="1:4" ht="12.75">
      <c r="A6" s="7"/>
      <c r="B6" s="9" t="s">
        <v>37</v>
      </c>
      <c r="D6" s="21">
        <v>1</v>
      </c>
    </row>
    <row r="7" spans="1:4" ht="12.75">
      <c r="A7" s="7"/>
      <c r="B7" s="9" t="s">
        <v>38</v>
      </c>
      <c r="D7" s="21">
        <v>0</v>
      </c>
    </row>
    <row r="8" spans="1:4" ht="12.75">
      <c r="A8" s="7"/>
      <c r="B8" s="9" t="s">
        <v>39</v>
      </c>
      <c r="D8" s="21">
        <v>1</v>
      </c>
    </row>
    <row r="9" spans="1:4" ht="12.75">
      <c r="A9" s="7"/>
      <c r="B9" s="20" t="s">
        <v>40</v>
      </c>
      <c r="C9" s="19"/>
      <c r="D9" s="22"/>
    </row>
    <row r="10" spans="1:4" ht="12.75">
      <c r="A10" s="7"/>
      <c r="B10" s="9"/>
      <c r="D10" s="12"/>
    </row>
    <row r="11" spans="1:4" ht="12.75">
      <c r="A11" s="11" t="s">
        <v>41</v>
      </c>
      <c r="B11" s="9" t="s">
        <v>42</v>
      </c>
      <c r="D11" s="13"/>
    </row>
    <row r="12" spans="1:4" ht="12.75">
      <c r="A12" s="7"/>
      <c r="B12" s="9" t="s">
        <v>43</v>
      </c>
      <c r="D12" s="23">
        <f>VLOOKUP(26,'Input Prices and Costs'!$A$4:$D$39,2,FALSE)</f>
        <v>675</v>
      </c>
    </row>
    <row r="13" spans="1:4" ht="12.75">
      <c r="A13" s="7"/>
      <c r="B13" s="9" t="s">
        <v>44</v>
      </c>
      <c r="D13" s="23">
        <v>500</v>
      </c>
    </row>
    <row r="14" spans="1:4" ht="12.75">
      <c r="A14" s="7"/>
      <c r="B14" s="9"/>
      <c r="D14" s="14"/>
    </row>
    <row r="15" spans="1:4" ht="12.75">
      <c r="A15" s="11" t="s">
        <v>45</v>
      </c>
      <c r="B15" s="9" t="s">
        <v>46</v>
      </c>
      <c r="D15" s="24">
        <f>(D6+D7)*D12</f>
        <v>675</v>
      </c>
    </row>
    <row r="16" spans="1:4" ht="12.75">
      <c r="A16" s="11"/>
      <c r="B16" s="9" t="s">
        <v>47</v>
      </c>
      <c r="D16" s="25">
        <f>D8*D13</f>
        <v>500</v>
      </c>
    </row>
    <row r="17" spans="1:4" ht="12.75">
      <c r="A17" s="7"/>
      <c r="D17" s="15"/>
    </row>
    <row r="18" spans="1:4" ht="12.75">
      <c r="A18" s="11" t="s">
        <v>48</v>
      </c>
      <c r="B18" s="1" t="s">
        <v>50</v>
      </c>
      <c r="D18" s="24">
        <f>SUM(D15:D16)</f>
        <v>1175</v>
      </c>
    </row>
    <row r="19" spans="1:4" ht="12.75">
      <c r="A19" s="8"/>
      <c r="D19" s="15"/>
    </row>
    <row r="20" spans="1:4" ht="12.75">
      <c r="A20" s="31" t="s">
        <v>49</v>
      </c>
      <c r="B20" s="32" t="s">
        <v>145</v>
      </c>
      <c r="C20" s="5"/>
      <c r="D20" s="65"/>
    </row>
    <row r="21" spans="1:4" ht="12.75">
      <c r="A21" s="7"/>
      <c r="B21" s="9" t="s">
        <v>52</v>
      </c>
      <c r="D21" s="26">
        <f>'Input Prices and Costs'!L4*30</f>
        <v>420</v>
      </c>
    </row>
    <row r="22" spans="1:4" ht="12.75">
      <c r="A22" s="7"/>
      <c r="B22" s="9" t="s">
        <v>53</v>
      </c>
      <c r="D22" s="27">
        <f>D21/365</f>
        <v>1.1506849315068493</v>
      </c>
    </row>
    <row r="23" spans="1:4" ht="12.75">
      <c r="A23" s="11"/>
      <c r="B23" s="9"/>
      <c r="C23" s="9"/>
      <c r="D23" s="13"/>
    </row>
    <row r="24" spans="1:4" ht="12.75">
      <c r="A24" s="11" t="s">
        <v>51</v>
      </c>
      <c r="B24" s="9" t="s">
        <v>55</v>
      </c>
      <c r="D24" s="15"/>
    </row>
    <row r="25" spans="1:4" ht="12.75">
      <c r="A25" s="7"/>
      <c r="B25" s="9" t="s">
        <v>56</v>
      </c>
      <c r="D25" s="15"/>
    </row>
    <row r="26" spans="1:4" ht="12.75">
      <c r="A26" s="7"/>
      <c r="B26" s="9" t="s">
        <v>57</v>
      </c>
      <c r="C26" s="10"/>
      <c r="D26" s="26">
        <f>D6+D7</f>
        <v>1</v>
      </c>
    </row>
    <row r="27" spans="1:4" ht="12.75">
      <c r="A27" s="7"/>
      <c r="B27" s="9" t="s">
        <v>58</v>
      </c>
      <c r="D27" s="35">
        <v>3.68</v>
      </c>
    </row>
    <row r="28" spans="1:4" ht="12.75">
      <c r="A28" s="7"/>
      <c r="B28" s="9" t="s">
        <v>59</v>
      </c>
      <c r="D28" s="35">
        <v>0</v>
      </c>
    </row>
    <row r="29" spans="1:4" ht="12.75">
      <c r="A29" s="7"/>
      <c r="B29" s="9" t="s">
        <v>60</v>
      </c>
      <c r="D29" s="23">
        <v>0</v>
      </c>
    </row>
    <row r="30" spans="1:4" ht="12.75">
      <c r="A30" s="11" t="s">
        <v>54</v>
      </c>
      <c r="B30" s="9" t="s">
        <v>62</v>
      </c>
      <c r="D30" s="28">
        <f>D21*D26*(D27+D28)</f>
        <v>1545.6000000000001</v>
      </c>
    </row>
    <row r="31" spans="1:4" ht="12.75">
      <c r="A31" s="11" t="s">
        <v>61</v>
      </c>
      <c r="B31" s="9" t="s">
        <v>64</v>
      </c>
      <c r="D31" s="36">
        <v>0.0525</v>
      </c>
    </row>
    <row r="32" spans="1:4" ht="12.75">
      <c r="A32" s="11" t="s">
        <v>63</v>
      </c>
      <c r="B32" s="9" t="s">
        <v>66</v>
      </c>
      <c r="D32" s="29">
        <f>(D18*D31*(D21/365))</f>
        <v>70.98287671232876</v>
      </c>
    </row>
    <row r="33" spans="1:4" ht="12.75">
      <c r="A33" s="11" t="s">
        <v>65</v>
      </c>
      <c r="B33" s="9" t="s">
        <v>68</v>
      </c>
      <c r="D33" s="30">
        <v>0</v>
      </c>
    </row>
    <row r="34" spans="1:4" ht="12.75">
      <c r="A34" s="11" t="s">
        <v>67</v>
      </c>
      <c r="B34" s="9" t="s">
        <v>70</v>
      </c>
      <c r="D34" s="16"/>
    </row>
    <row r="35" spans="1:4" ht="12.75">
      <c r="A35" s="7"/>
      <c r="B35" s="9" t="s">
        <v>71</v>
      </c>
      <c r="D35" s="28">
        <f>(D18+D30+D32+D33)</f>
        <v>2791.582876712329</v>
      </c>
    </row>
    <row r="36" spans="1:4" ht="12.75">
      <c r="A36" s="11" t="s">
        <v>69</v>
      </c>
      <c r="B36" s="9" t="s">
        <v>73</v>
      </c>
      <c r="D36" s="28">
        <f>(D35)/(D6+D7)</f>
        <v>2791.582876712329</v>
      </c>
    </row>
    <row r="37" spans="1:4" ht="12.75">
      <c r="A37" s="11" t="s">
        <v>72</v>
      </c>
      <c r="B37" s="1" t="s">
        <v>74</v>
      </c>
      <c r="D37" s="28">
        <f>D36-D12</f>
        <v>2116.582876712329</v>
      </c>
    </row>
    <row r="40" spans="1:12" ht="12.75">
      <c r="A40" s="1" t="s">
        <v>163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">
      <c r="A42" s="67"/>
      <c r="B42" s="62" t="s">
        <v>164</v>
      </c>
      <c r="C42" s="62"/>
      <c r="D42" s="62"/>
      <c r="E42" s="62"/>
      <c r="F42" s="62"/>
      <c r="G42" s="62"/>
      <c r="H42" s="62"/>
      <c r="I42" s="62"/>
      <c r="J42" s="62"/>
      <c r="K42" s="1"/>
      <c r="L42" s="1"/>
    </row>
    <row r="43" spans="1:10" ht="12.75">
      <c r="A43" s="33"/>
      <c r="B43" s="62" t="s">
        <v>165</v>
      </c>
      <c r="C43" s="33"/>
      <c r="D43" s="33"/>
      <c r="E43" s="33"/>
      <c r="F43" s="33"/>
      <c r="G43" s="33"/>
      <c r="H43" s="33"/>
      <c r="I43" s="33"/>
      <c r="J43" s="33"/>
    </row>
    <row r="45" ht="12">
      <c r="B45" t="s">
        <v>84</v>
      </c>
    </row>
    <row r="46" spans="2:4" ht="12">
      <c r="B46" s="34" t="s">
        <v>78</v>
      </c>
      <c r="D46" s="2" t="s">
        <v>7</v>
      </c>
    </row>
    <row r="47" ht="12">
      <c r="B47" s="34" t="s">
        <v>77</v>
      </c>
    </row>
    <row r="48" spans="2:4" ht="12">
      <c r="B48" s="34" t="s">
        <v>79</v>
      </c>
      <c r="D48" t="s">
        <v>135</v>
      </c>
    </row>
    <row r="49" ht="12">
      <c r="B49" s="34" t="s">
        <v>80</v>
      </c>
    </row>
    <row r="50" ht="12">
      <c r="B50" s="34" t="s">
        <v>81</v>
      </c>
    </row>
    <row r="51" ht="12">
      <c r="B51" s="34" t="s">
        <v>82</v>
      </c>
    </row>
    <row r="52" spans="2:4" ht="12">
      <c r="B52" s="34" t="s">
        <v>83</v>
      </c>
      <c r="D52" s="2" t="s">
        <v>85</v>
      </c>
    </row>
    <row r="53" spans="2:5" ht="12">
      <c r="B53" s="34" t="s">
        <v>154</v>
      </c>
      <c r="D53" s="2" t="s">
        <v>153</v>
      </c>
      <c r="E53" s="2"/>
    </row>
    <row r="54" ht="12">
      <c r="E54" s="2"/>
    </row>
  </sheetData>
  <sheetProtection sheet="1" objects="1" scenarios="1" selectLockedCells="1"/>
  <mergeCells count="1">
    <mergeCell ref="A1:D1"/>
  </mergeCells>
  <dataValidations count="1">
    <dataValidation type="date" allowBlank="1" showInputMessage="1" showErrorMessage="1" sqref="D20">
      <formula1>'Destock &amp; Restock'!#REF!</formula1>
      <formula2>44196</formula2>
    </dataValidation>
  </dataValidations>
  <hyperlinks>
    <hyperlink ref="D46" r:id="rId1" display="http://search.ams.usda.gov/mnreports/am_ls155.txt"/>
    <hyperlink ref="D52" r:id="rId2" display="http://www.ams.usda.gov/mnreports/SA_LS150.txt"/>
    <hyperlink ref="D53" r:id="rId3" display="http://www.superiorlivestock.com/Superior.sla?sp=mr"/>
  </hyperlinks>
  <printOptions/>
  <pageMargins left="0.75" right="0.75" top="1" bottom="1" header="0.5" footer="0.5"/>
  <pageSetup horizontalDpi="600" verticalDpi="600" orientation="landscape"/>
  <drawing r:id="rId6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selection activeCell="K51" sqref="K51"/>
    </sheetView>
  </sheetViews>
  <sheetFormatPr defaultColWidth="8.8515625" defaultRowHeight="12.75"/>
  <cols>
    <col min="1" max="1" width="27.28125" style="0" customWidth="1"/>
    <col min="2" max="2" width="1.7109375" style="0" customWidth="1"/>
    <col min="3" max="4" width="8.8515625" style="0" customWidth="1"/>
    <col min="5" max="5" width="9.140625" style="0" bestFit="1" customWidth="1"/>
    <col min="6" max="7" width="8.8515625" style="0" customWidth="1"/>
    <col min="8" max="8" width="25.28125" style="0" customWidth="1"/>
    <col min="9" max="9" width="1.28515625" style="0" customWidth="1"/>
    <col min="10" max="12" width="8.8515625" style="0" customWidth="1"/>
    <col min="13" max="13" width="16.140625" style="0" customWidth="1"/>
    <col min="14" max="14" width="22.28125" style="0" customWidth="1"/>
    <col min="15" max="16" width="8.8515625" style="0" customWidth="1"/>
    <col min="17" max="17" width="2.28125" style="0" customWidth="1"/>
    <col min="18" max="19" width="11.140625" style="0" customWidth="1"/>
    <col min="20" max="23" width="8.8515625" style="0" customWidth="1"/>
    <col min="24" max="24" width="14.140625" style="0" customWidth="1"/>
  </cols>
  <sheetData>
    <row r="1" ht="12.75">
      <c r="A1" s="1" t="s">
        <v>107</v>
      </c>
    </row>
    <row r="2" ht="12.75">
      <c r="A2" s="1"/>
    </row>
    <row r="3" spans="1:5" ht="12.75">
      <c r="A3" s="1" t="s">
        <v>118</v>
      </c>
      <c r="E3" s="95">
        <f>$Y$9</f>
        <v>0.56</v>
      </c>
    </row>
    <row r="4" spans="1:5" ht="12.75">
      <c r="A4" s="1" t="s">
        <v>151</v>
      </c>
      <c r="E4" s="95">
        <f>$Y$10</f>
        <v>0.66</v>
      </c>
    </row>
    <row r="5" spans="1:5" ht="12.75">
      <c r="A5" s="1" t="s">
        <v>122</v>
      </c>
      <c r="C5">
        <v>25</v>
      </c>
      <c r="E5" s="96">
        <f>VLOOKUP('Embryo Transfer'!$C$5,'Input Prices and Costs'!$A$4:$D$39,2,FALSE)</f>
        <v>1300</v>
      </c>
    </row>
    <row r="6" spans="1:5" ht="12.75">
      <c r="A6" s="1" t="s">
        <v>188</v>
      </c>
      <c r="C6">
        <v>28</v>
      </c>
      <c r="E6" s="95">
        <f>VLOOKUP('Embryo Transfer'!$C$6,'Input Prices and Costs'!$A$4:$D$39,2,FALSE)</f>
        <v>0.85</v>
      </c>
    </row>
    <row r="7" spans="1:5" ht="12.75">
      <c r="A7" s="1"/>
      <c r="E7" s="5"/>
    </row>
    <row r="8" ht="12.75">
      <c r="A8" s="1" t="s">
        <v>111</v>
      </c>
    </row>
    <row r="9" spans="1:25" ht="12.75">
      <c r="A9" s="9" t="s">
        <v>36</v>
      </c>
      <c r="U9" t="s">
        <v>119</v>
      </c>
      <c r="Y9" s="97">
        <v>0.56</v>
      </c>
    </row>
    <row r="10" spans="3:25" ht="12.75">
      <c r="C10" s="9" t="s">
        <v>37</v>
      </c>
      <c r="J10" s="21">
        <v>1</v>
      </c>
      <c r="U10" t="s">
        <v>129</v>
      </c>
      <c r="Y10" s="97">
        <v>0.66</v>
      </c>
    </row>
    <row r="11" spans="3:25" ht="12.75">
      <c r="C11" s="9" t="s">
        <v>38</v>
      </c>
      <c r="J11" s="21">
        <v>0</v>
      </c>
      <c r="U11" t="s">
        <v>191</v>
      </c>
      <c r="Y11" s="97">
        <v>1</v>
      </c>
    </row>
    <row r="12" spans="3:25" ht="12.75">
      <c r="C12" s="9" t="s">
        <v>39</v>
      </c>
      <c r="J12" s="21">
        <v>1</v>
      </c>
      <c r="U12" t="s">
        <v>189</v>
      </c>
      <c r="Y12" s="97">
        <v>2</v>
      </c>
    </row>
    <row r="13" spans="2:25" ht="12.75">
      <c r="B13" s="41" t="s">
        <v>40</v>
      </c>
      <c r="J13" s="22"/>
      <c r="U13" t="s">
        <v>190</v>
      </c>
      <c r="Y13" s="97">
        <v>12</v>
      </c>
    </row>
    <row r="14" spans="1:10" ht="12.75">
      <c r="A14" s="9"/>
      <c r="J14" s="12"/>
    </row>
    <row r="15" spans="1:10" ht="12.75">
      <c r="A15" s="9" t="s">
        <v>42</v>
      </c>
      <c r="J15" s="13"/>
    </row>
    <row r="16" spans="3:11" ht="12.75">
      <c r="C16" s="9" t="s">
        <v>43</v>
      </c>
      <c r="K16" s="23">
        <v>1000</v>
      </c>
    </row>
    <row r="17" spans="3:11" ht="12.75">
      <c r="C17" s="9" t="s">
        <v>44</v>
      </c>
      <c r="K17" s="23">
        <v>500</v>
      </c>
    </row>
    <row r="18" spans="1:11" ht="12.75">
      <c r="A18" s="9"/>
      <c r="K18" s="14"/>
    </row>
    <row r="19" spans="1:11" ht="12.75">
      <c r="A19" s="1" t="s">
        <v>152</v>
      </c>
      <c r="K19" s="24">
        <f>(J10+J11)*K16+J12*K17</f>
        <v>1500</v>
      </c>
    </row>
    <row r="20" spans="1:5" ht="12.75">
      <c r="A20" s="1"/>
      <c r="E20" s="5"/>
    </row>
    <row r="21" spans="1:5" ht="12.75">
      <c r="A21" s="1"/>
      <c r="E21" s="5"/>
    </row>
    <row r="22" spans="1:11" ht="12.75">
      <c r="A22" s="8" t="s">
        <v>125</v>
      </c>
      <c r="B22" s="8"/>
      <c r="C22" s="8"/>
      <c r="D22" s="8"/>
      <c r="E22" s="8"/>
      <c r="F22" s="8"/>
      <c r="J22" s="8"/>
      <c r="K22" s="8"/>
    </row>
    <row r="23" spans="10:11" ht="38.25">
      <c r="J23" s="49" t="s">
        <v>117</v>
      </c>
      <c r="K23" s="8" t="s">
        <v>4</v>
      </c>
    </row>
    <row r="24" spans="1:11" ht="16.5">
      <c r="A24" s="8" t="s">
        <v>95</v>
      </c>
      <c r="B24" s="39" t="s">
        <v>103</v>
      </c>
      <c r="G24" s="8"/>
      <c r="H24" s="8"/>
      <c r="I24" s="8"/>
      <c r="J24" s="7"/>
      <c r="K24" s="7"/>
    </row>
    <row r="25" spans="1:11" ht="12.75">
      <c r="A25" s="83">
        <v>13</v>
      </c>
      <c r="C25" s="6">
        <f>VLOOKUP($A25,'Input Prices and Costs'!$A$4:$D$39,2,FALSE)</f>
        <v>85</v>
      </c>
      <c r="D25" s="6" t="str">
        <f>VLOOKUP($A25,'Input Prices and Costs'!$A$4:$D$39,4,FALSE)</f>
        <v>Per Grade 1 or 2 transferable embryo produced</v>
      </c>
      <c r="J25" s="83">
        <v>1</v>
      </c>
      <c r="K25" s="40">
        <f>C25*J25</f>
        <v>85</v>
      </c>
    </row>
    <row r="26" spans="1:11" ht="12.75">
      <c r="A26" s="83">
        <v>14</v>
      </c>
      <c r="C26" s="6">
        <f>VLOOKUP($A26,'Input Prices and Costs'!$A$4:$D$39,2,FALSE)</f>
        <v>50</v>
      </c>
      <c r="D26" s="6" t="str">
        <f>VLOOKUP($A26,'Input Prices and Costs'!$A$4:$D$39,4,FALSE)</f>
        <v>Implantation fee</v>
      </c>
      <c r="J26" s="83">
        <v>1</v>
      </c>
      <c r="K26" s="40">
        <f>C26*J26</f>
        <v>50</v>
      </c>
    </row>
    <row r="27" spans="1:11" ht="12.75">
      <c r="A27" s="83">
        <v>16</v>
      </c>
      <c r="C27" s="6">
        <f>VLOOKUP($A27,'Input Prices and Costs'!$A$4:$D$39,2,FALSE)</f>
        <v>40</v>
      </c>
      <c r="D27" s="6" t="str">
        <f>VLOOKUP($A27,'Input Prices and Costs'!$A$4:$D$39,4,FALSE)</f>
        <v>Freezing fee (if frozen)</v>
      </c>
      <c r="J27" s="83">
        <v>1</v>
      </c>
      <c r="K27" s="40">
        <f>C27*J27</f>
        <v>40</v>
      </c>
    </row>
    <row r="28" spans="1:11" ht="12.75">
      <c r="A28" s="7"/>
      <c r="C28" s="6"/>
      <c r="D28" s="6"/>
      <c r="J28" s="7"/>
      <c r="K28" s="40"/>
    </row>
    <row r="29" spans="1:11" ht="12.75">
      <c r="A29" s="7"/>
      <c r="C29" s="6"/>
      <c r="D29" s="6"/>
      <c r="J29" s="7"/>
      <c r="K29" s="40"/>
    </row>
    <row r="30" spans="1:11" ht="16.5">
      <c r="A30" s="7"/>
      <c r="B30" s="39" t="s">
        <v>105</v>
      </c>
      <c r="C30" s="6"/>
      <c r="D30" s="6"/>
      <c r="J30" s="7"/>
      <c r="K30" s="40"/>
    </row>
    <row r="31" spans="1:11" ht="12.75">
      <c r="A31" s="83">
        <v>13</v>
      </c>
      <c r="C31" s="6">
        <f>VLOOKUP($A31,'Input Prices and Costs'!$A$4:$D$39,2,FALSE)</f>
        <v>85</v>
      </c>
      <c r="D31" s="6" t="str">
        <f>VLOOKUP($A31,'Input Prices and Costs'!$A$4:$D$39,4,FALSE)</f>
        <v>Per Grade 1 or 2 transferable embryo produced</v>
      </c>
      <c r="J31" s="83">
        <v>0</v>
      </c>
      <c r="K31" s="40">
        <f>C31*J31</f>
        <v>0</v>
      </c>
    </row>
    <row r="32" spans="1:11" ht="12.75">
      <c r="A32" s="83">
        <v>14</v>
      </c>
      <c r="C32" s="6">
        <f>VLOOKUP($A32,'Input Prices and Costs'!$A$4:$D$39,2,FALSE)</f>
        <v>50</v>
      </c>
      <c r="D32" s="6" t="str">
        <f>VLOOKUP($A32,'Input Prices and Costs'!$A$4:$D$39,4,FALSE)</f>
        <v>Implantation fee</v>
      </c>
      <c r="J32" s="83">
        <v>0</v>
      </c>
      <c r="K32" s="40">
        <f>C32*J32</f>
        <v>0</v>
      </c>
    </row>
    <row r="33" spans="1:11" ht="12.75">
      <c r="A33" s="83">
        <v>16</v>
      </c>
      <c r="C33" s="6">
        <f>VLOOKUP($A33,'Input Prices and Costs'!$A$4:$D$39,2,FALSE)</f>
        <v>40</v>
      </c>
      <c r="D33" s="6" t="str">
        <f>VLOOKUP($A33,'Input Prices and Costs'!$A$4:$D$39,4,FALSE)</f>
        <v>Freezing fee (if frozen)</v>
      </c>
      <c r="J33" s="83">
        <v>0</v>
      </c>
      <c r="K33" s="40">
        <f>C33*J33</f>
        <v>0</v>
      </c>
    </row>
    <row r="34" spans="1:11" ht="12.75">
      <c r="A34" s="42"/>
      <c r="C34" s="6"/>
      <c r="D34" s="6"/>
      <c r="J34" s="42"/>
      <c r="K34" s="40"/>
    </row>
    <row r="35" spans="1:11" ht="12.75">
      <c r="A35" s="42"/>
      <c r="C35" s="6"/>
      <c r="D35" s="6"/>
      <c r="J35" s="42"/>
      <c r="K35" s="40"/>
    </row>
    <row r="36" spans="1:11" ht="16.5">
      <c r="A36" s="7"/>
      <c r="B36" s="39" t="s">
        <v>104</v>
      </c>
      <c r="C36" s="6"/>
      <c r="D36" s="6"/>
      <c r="J36" s="7"/>
      <c r="K36" s="40"/>
    </row>
    <row r="37" spans="1:11" ht="12.75">
      <c r="A37" s="83">
        <v>13</v>
      </c>
      <c r="C37" s="6">
        <f>VLOOKUP($A37,'Input Prices and Costs'!$A$4:$D$39,2,FALSE)</f>
        <v>85</v>
      </c>
      <c r="D37" s="6" t="str">
        <f>VLOOKUP($A37,'Input Prices and Costs'!$A$4:$D$39,4,FALSE)</f>
        <v>Per Grade 1 or 2 transferable embryo produced</v>
      </c>
      <c r="J37" s="83">
        <v>0</v>
      </c>
      <c r="K37" s="40">
        <f>C37*J37</f>
        <v>0</v>
      </c>
    </row>
    <row r="38" spans="1:11" ht="12.75">
      <c r="A38" s="83">
        <v>14</v>
      </c>
      <c r="C38" s="6">
        <f>VLOOKUP($A38,'Input Prices and Costs'!$A$4:$D$39,2,FALSE)</f>
        <v>50</v>
      </c>
      <c r="D38" s="6" t="str">
        <f>VLOOKUP($A38,'Input Prices and Costs'!$A$4:$D$39,4,FALSE)</f>
        <v>Implantation fee</v>
      </c>
      <c r="J38" s="83">
        <v>0</v>
      </c>
      <c r="K38" s="40">
        <f>C38*J38</f>
        <v>0</v>
      </c>
    </row>
    <row r="39" spans="1:11" ht="12.75">
      <c r="A39" s="83">
        <v>15</v>
      </c>
      <c r="C39" s="6">
        <f>VLOOKUP($A39,'Input Prices and Costs'!$A$4:$D$39,2,FALSE)</f>
        <v>85</v>
      </c>
      <c r="D39" s="6" t="str">
        <f>VLOOKUP($A39,'Input Prices and Costs'!$A$4:$D$39,4,FALSE)</f>
        <v>Per embryo Reverse Sort fee</v>
      </c>
      <c r="J39" s="83">
        <v>0</v>
      </c>
      <c r="K39" s="40">
        <f>C39*J39</f>
        <v>0</v>
      </c>
    </row>
    <row r="40" spans="1:11" ht="12.75">
      <c r="A40" s="83">
        <v>16</v>
      </c>
      <c r="C40" s="6">
        <f>VLOOKUP($A40,'Input Prices and Costs'!$A$4:$D$39,2,FALSE)</f>
        <v>40</v>
      </c>
      <c r="D40" s="6" t="str">
        <f>VLOOKUP($A40,'Input Prices and Costs'!$A$4:$D$39,4,FALSE)</f>
        <v>Freezing fee (if frozen)</v>
      </c>
      <c r="J40" s="83">
        <v>0</v>
      </c>
      <c r="K40" s="40">
        <f>C40*J40</f>
        <v>0</v>
      </c>
    </row>
    <row r="41" spans="1:11" ht="12.75">
      <c r="A41" s="42"/>
      <c r="C41" s="6"/>
      <c r="D41" s="6"/>
      <c r="J41" s="42"/>
      <c r="K41" s="40"/>
    </row>
    <row r="42" spans="1:4" ht="12.75">
      <c r="A42" s="7"/>
      <c r="C42" s="6"/>
      <c r="D42" s="6"/>
    </row>
    <row r="43" spans="1:4" ht="12.75">
      <c r="A43" s="8" t="s">
        <v>108</v>
      </c>
      <c r="C43" s="6"/>
      <c r="D43" s="6"/>
    </row>
    <row r="44" spans="1:11" ht="12.75">
      <c r="A44" s="83">
        <v>23</v>
      </c>
      <c r="C44" s="52">
        <f>VLOOKUP($A44,'Input Prices and Costs'!$A$4:$D$39,2,FALSE)</f>
        <v>0.05</v>
      </c>
      <c r="D44" s="6" t="str">
        <f>VLOOKUP($A44,'Input Prices and Costs'!$A$4:$D$39,4,FALSE)</f>
        <v>Frozen embryo maintainance</v>
      </c>
      <c r="J44" s="83">
        <f>'Input Prices and Costs'!L4</f>
        <v>14</v>
      </c>
      <c r="K44" s="40">
        <f>IF(($C$44*J44*'Input Prices and Costs'!L4)&lt;'Input Prices and Costs'!$I$32,'Input Prices and Costs'!$I$32,($C$44*$J$44*'Input Prices and Costs'!L4))</f>
        <v>9.8</v>
      </c>
    </row>
    <row r="45" spans="1:11" ht="12.75">
      <c r="A45" s="42"/>
      <c r="C45" s="6"/>
      <c r="D45" s="6"/>
      <c r="J45" s="42"/>
      <c r="K45" s="40"/>
    </row>
    <row r="46" spans="1:11" ht="12.75">
      <c r="A46" s="43" t="s">
        <v>112</v>
      </c>
      <c r="C46" s="6"/>
      <c r="D46" s="6"/>
      <c r="J46" s="42"/>
      <c r="K46" s="40"/>
    </row>
    <row r="47" spans="1:11" ht="12.75">
      <c r="A47" s="44">
        <v>25</v>
      </c>
      <c r="C47" s="6">
        <f>$E$5</f>
        <v>1300</v>
      </c>
      <c r="D47" s="6" t="str">
        <f>VLOOKUP($A47,'Input Prices and Costs'!$A$4:$D$39,4,FALSE)</f>
        <v>Estimated Future Recip Cow Cost</v>
      </c>
      <c r="J47" s="83">
        <v>1</v>
      </c>
      <c r="K47" s="40"/>
    </row>
    <row r="48" spans="1:11" ht="12.75">
      <c r="A48" s="44">
        <v>28</v>
      </c>
      <c r="C48" s="53">
        <f>E6</f>
        <v>0.85</v>
      </c>
      <c r="D48" s="6" t="str">
        <f>VLOOKUP($A48,'Input Prices and Costs'!$A$4:$D$39,4,FALSE)</f>
        <v>Salvage Value of Recip Cow</v>
      </c>
      <c r="J48" s="99"/>
      <c r="K48" s="40"/>
    </row>
    <row r="49" spans="1:11" ht="12.75">
      <c r="A49" s="44"/>
      <c r="C49" s="6"/>
      <c r="D49" s="6" t="s">
        <v>187</v>
      </c>
      <c r="J49" s="99"/>
      <c r="K49" s="40">
        <f>C47-(C47*C48)</f>
        <v>195</v>
      </c>
    </row>
    <row r="50" spans="1:13" ht="12.75">
      <c r="A50" s="45"/>
      <c r="B50" s="45"/>
      <c r="C50" s="47">
        <f>SUM(S54:S56)</f>
        <v>52.03333333333333</v>
      </c>
      <c r="D50" s="45" t="s">
        <v>113</v>
      </c>
      <c r="E50" s="45"/>
      <c r="J50" s="83">
        <v>1</v>
      </c>
      <c r="K50" s="40">
        <f>C50*J50</f>
        <v>52.03333333333333</v>
      </c>
      <c r="M50" s="1" t="s">
        <v>149</v>
      </c>
    </row>
    <row r="51" spans="1:13" ht="12.75">
      <c r="A51" s="42"/>
      <c r="C51" s="6"/>
      <c r="D51" s="6" t="s">
        <v>192</v>
      </c>
      <c r="J51" s="42"/>
      <c r="K51" s="100"/>
      <c r="M51" s="1" t="s">
        <v>12</v>
      </c>
    </row>
    <row r="52" spans="1:19" ht="12.75">
      <c r="A52" s="42"/>
      <c r="C52" s="6"/>
      <c r="D52" s="6"/>
      <c r="J52" s="42"/>
      <c r="K52" s="40"/>
      <c r="M52" s="8" t="s">
        <v>13</v>
      </c>
      <c r="N52" s="8"/>
      <c r="O52" s="8"/>
      <c r="P52" s="7"/>
      <c r="Q52" s="8"/>
      <c r="R52" s="8" t="s">
        <v>92</v>
      </c>
      <c r="S52" s="8" t="s">
        <v>29</v>
      </c>
    </row>
    <row r="53" spans="1:19" ht="12.75">
      <c r="A53" s="42"/>
      <c r="C53" s="6"/>
      <c r="D53" s="6"/>
      <c r="J53" s="42"/>
      <c r="K53" s="40"/>
      <c r="M53" s="8" t="s">
        <v>14</v>
      </c>
      <c r="N53" s="8" t="s">
        <v>143</v>
      </c>
      <c r="O53" s="8" t="s">
        <v>94</v>
      </c>
      <c r="P53" s="8" t="s">
        <v>31</v>
      </c>
      <c r="Q53" s="8"/>
      <c r="R53" s="8" t="s">
        <v>19</v>
      </c>
      <c r="S53" s="8" t="s">
        <v>19</v>
      </c>
    </row>
    <row r="54" spans="1:19" ht="12.75">
      <c r="A54" s="48" t="s">
        <v>123</v>
      </c>
      <c r="C54" s="6"/>
      <c r="D54" s="6"/>
      <c r="J54" s="42"/>
      <c r="K54" s="40">
        <f>SUM(K25:K51)</f>
        <v>431.83333333333337</v>
      </c>
      <c r="M54" s="83">
        <v>19</v>
      </c>
      <c r="N54" s="72" t="str">
        <f>(VLOOKUP(M54,'Input Prices and Costs'!$A$4:$D$39,4,FALSE))</f>
        <v>Local pasture lease</v>
      </c>
      <c r="O54" s="83">
        <f>Y11</f>
        <v>1</v>
      </c>
      <c r="P54" s="46" t="str">
        <f>(VLOOKUP('Embryo Transfer'!M54,'Input Prices and Costs'!$A$4:$D$39,3,FALSE))</f>
        <v>per AUY</v>
      </c>
      <c r="R54" s="83">
        <v>1</v>
      </c>
      <c r="S54" s="46">
        <f>(VLOOKUP(M54,'Input Prices and Costs'!$A$4:$D$39,2,FALSE)/12)</f>
        <v>13.333333333333334</v>
      </c>
    </row>
    <row r="55" spans="1:19" ht="12.75">
      <c r="A55" s="48" t="s">
        <v>124</v>
      </c>
      <c r="C55" s="6"/>
      <c r="D55" s="6"/>
      <c r="J55" s="42"/>
      <c r="K55" s="40">
        <f>K54/E3</f>
        <v>771.1309523809524</v>
      </c>
      <c r="M55" s="83">
        <v>4</v>
      </c>
      <c r="N55" s="72" t="str">
        <f>(VLOOKUP(M55,'Input Prices and Costs'!$A$4:$D$39,4,FALSE))</f>
        <v>20% Range Cube</v>
      </c>
      <c r="O55" s="83">
        <f>Y12</f>
        <v>2</v>
      </c>
      <c r="P55" s="46" t="str">
        <f>(VLOOKUP('Embryo Transfer'!M55,'Input Prices and Costs'!$A$4:$D$39,3,FALSE))</f>
        <v>ton</v>
      </c>
      <c r="Q55" s="5"/>
      <c r="R55" s="83">
        <v>30</v>
      </c>
      <c r="S55" s="46">
        <f>(VLOOKUP(M55,'Input Prices and Costs'!$A$4:$D$39,2,FALSE)/2000)*O55*R55</f>
        <v>11.700000000000001</v>
      </c>
    </row>
    <row r="56" spans="1:19" ht="12.75">
      <c r="A56" s="48" t="s">
        <v>124</v>
      </c>
      <c r="C56" s="6"/>
      <c r="D56" s="6"/>
      <c r="J56" s="42"/>
      <c r="K56" s="40">
        <f>$K$54/E4</f>
        <v>654.2929292929293</v>
      </c>
      <c r="M56" s="83">
        <v>8</v>
      </c>
      <c r="N56" s="72" t="str">
        <f>(VLOOKUP(M56,'Input Prices and Costs'!$A$4:$D$39,4,FALSE))</f>
        <v>Grass Hay--Good Quality</v>
      </c>
      <c r="O56" s="83">
        <f>Y13</f>
        <v>12</v>
      </c>
      <c r="P56" s="46" t="str">
        <f>(VLOOKUP('Embryo Transfer'!M56,'Input Prices and Costs'!$A$4:$D$39,3,FALSE))</f>
        <v>ton</v>
      </c>
      <c r="Q56" s="5"/>
      <c r="R56" s="83">
        <v>30</v>
      </c>
      <c r="S56" s="46">
        <f>(VLOOKUP(M56,'Input Prices and Costs'!$A$4:$D$39,2,FALSE)/2000)*O56*R56</f>
        <v>26.999999999999996</v>
      </c>
    </row>
    <row r="57" spans="7:19" ht="12.75">
      <c r="G57" s="53">
        <f>E3</f>
        <v>0.56</v>
      </c>
      <c r="H57" t="s">
        <v>128</v>
      </c>
      <c r="N57" s="42"/>
      <c r="P57" s="42"/>
      <c r="Q57" s="5"/>
      <c r="R57" s="42"/>
      <c r="S57" s="46"/>
    </row>
    <row r="58" spans="1:19" ht="29.25" customHeight="1">
      <c r="A58" s="1"/>
      <c r="G58" s="53">
        <f>E4</f>
        <v>0.66</v>
      </c>
      <c r="H58" s="37" t="s">
        <v>130</v>
      </c>
      <c r="K58" s="50"/>
      <c r="N58" s="42"/>
      <c r="P58" s="42"/>
      <c r="Q58" s="5"/>
      <c r="R58" s="42"/>
      <c r="S58" s="46"/>
    </row>
    <row r="59" ht="12.75">
      <c r="M59" s="66" t="s">
        <v>148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landscape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6" sqref="E6"/>
    </sheetView>
  </sheetViews>
  <sheetFormatPr defaultColWidth="8.8515625" defaultRowHeight="12.75"/>
  <cols>
    <col min="1" max="1" width="35.7109375" style="0" customWidth="1"/>
    <col min="2" max="2" width="3.7109375" style="0" customWidth="1"/>
    <col min="3" max="3" width="2.7109375" style="0" customWidth="1"/>
    <col min="4" max="4" width="2.421875" style="0" customWidth="1"/>
    <col min="5" max="6" width="8.8515625" style="0" customWidth="1"/>
    <col min="7" max="7" width="10.8515625" style="0" customWidth="1"/>
    <col min="8" max="8" width="2.140625" style="0" customWidth="1"/>
    <col min="9" max="9" width="10.7109375" style="0" customWidth="1"/>
  </cols>
  <sheetData>
    <row r="1" ht="12.75">
      <c r="A1" s="1" t="s">
        <v>140</v>
      </c>
    </row>
    <row r="2" spans="7:9" ht="12.75">
      <c r="G2" s="8" t="s">
        <v>147</v>
      </c>
      <c r="H2" s="8"/>
      <c r="I2" s="8" t="s">
        <v>146</v>
      </c>
    </row>
    <row r="3" spans="1:10" ht="12.75">
      <c r="A3" t="s">
        <v>133</v>
      </c>
      <c r="G3" s="61">
        <v>2.25</v>
      </c>
      <c r="H3" t="s">
        <v>139</v>
      </c>
      <c r="I3" s="61">
        <v>2.75</v>
      </c>
      <c r="J3" t="s">
        <v>91</v>
      </c>
    </row>
    <row r="4" ht="12.75">
      <c r="F4" t="s">
        <v>134</v>
      </c>
    </row>
    <row r="6" spans="1:6" ht="12.75">
      <c r="A6" t="s">
        <v>101</v>
      </c>
      <c r="E6" s="91">
        <f>'Input Prices and Costs'!L4</f>
        <v>14</v>
      </c>
      <c r="F6" t="s">
        <v>17</v>
      </c>
    </row>
    <row r="7" spans="7:9" ht="12.75">
      <c r="G7" s="8" t="s">
        <v>138</v>
      </c>
      <c r="H7" s="8"/>
      <c r="I7" s="8" t="s">
        <v>137</v>
      </c>
    </row>
    <row r="8" spans="1:9" ht="36" customHeight="1">
      <c r="A8" s="37" t="s">
        <v>141</v>
      </c>
      <c r="G8" s="61">
        <f>($E$6*30)*$G$3</f>
        <v>945</v>
      </c>
      <c r="H8" s="61"/>
      <c r="I8" s="61">
        <f>($E$6*30)*$I$3</f>
        <v>1155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Hogan</dc:creator>
  <cp:keywords/>
  <dc:description/>
  <cp:lastModifiedBy>Lexi Freeman</cp:lastModifiedBy>
  <cp:lastPrinted>2011-10-13T13:57:56Z</cp:lastPrinted>
  <dcterms:created xsi:type="dcterms:W3CDTF">2011-08-23T18:05:57Z</dcterms:created>
  <dcterms:modified xsi:type="dcterms:W3CDTF">2017-02-24T17:52:00Z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